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O9" i="18"/>
  <c r="L78" i="14"/>
  <c r="L8" i="61"/>
  <c r="L10" s="1"/>
  <c r="E90" i="14"/>
  <c r="E18" i="61"/>
  <c r="K78" i="14"/>
  <c r="K8" i="61"/>
  <c r="K10" s="1"/>
  <c r="L90" i="14"/>
  <c r="L18" i="61"/>
  <c r="L20" s="1"/>
  <c r="E20"/>
  <c r="L20" i="18"/>
  <c r="O77" i="14"/>
  <c r="O9" i="61" s="1"/>
  <c r="O10" s="1"/>
  <c r="N20"/>
  <c r="K90" i="14"/>
  <c r="K22"/>
  <c r="N77"/>
  <c r="P27" i="48"/>
  <c r="B10" i="18"/>
  <c r="M77" i="14"/>
  <c r="M9" i="61" s="1"/>
  <c r="H9" i="18"/>
  <c r="C98"/>
  <c r="B101" s="1"/>
  <c r="C8" s="1"/>
  <c r="G10" i="61"/>
  <c r="P22" i="14"/>
  <c r="E10" i="61"/>
  <c r="B17" i="18"/>
  <c r="B20" s="1"/>
  <c r="F13" i="15"/>
  <c r="O22" i="14"/>
  <c r="G77"/>
  <c r="G9" i="61" s="1"/>
  <c r="H20"/>
  <c r="P25" i="48"/>
  <c r="I77" i="14"/>
  <c r="I9" i="61" s="1"/>
  <c r="L13" i="15"/>
  <c r="B13"/>
  <c r="H90" i="14"/>
  <c r="N13" i="15"/>
  <c r="F77" i="14"/>
  <c r="F9" i="61" s="1"/>
  <c r="I101" i="18"/>
  <c r="H8" s="1"/>
  <c r="E101"/>
  <c r="E8" s="1"/>
  <c r="G101"/>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78" l="1"/>
  <c r="D10" i="61"/>
  <c r="H78" i="14"/>
  <c r="H9" i="61"/>
  <c r="H10" s="1"/>
  <c r="N78" i="14"/>
  <c r="N9" i="61"/>
  <c r="N10" s="1"/>
  <c r="O90" i="14"/>
  <c r="O18" i="61"/>
  <c r="O20" s="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4"/>
  <c r="I31"/>
  <c r="I28"/>
  <c r="I30"/>
  <c r="I22"/>
  <c r="I32"/>
  <c r="I26"/>
  <c r="I27"/>
  <c r="I29"/>
  <c r="D4"/>
  <c r="D22" s="1"/>
  <c r="E11" i="14"/>
  <c r="C4" i="48"/>
  <c r="D11" i="14"/>
  <c r="G23" i="48"/>
  <c r="G30"/>
  <c r="G32"/>
  <c r="G25"/>
  <c r="G22"/>
  <c r="G26"/>
  <c r="G29"/>
  <c r="G24"/>
  <c r="B4"/>
  <c r="C11" i="14"/>
  <c r="F30" i="48"/>
  <c r="F32"/>
  <c r="F29"/>
  <c r="F24"/>
  <c r="F31"/>
  <c r="F27"/>
  <c r="F28"/>
  <c r="N31"/>
  <c r="N24"/>
  <c r="N30"/>
  <c r="N32"/>
  <c r="N27"/>
  <c r="N29"/>
  <c r="N28"/>
  <c r="B10"/>
  <c r="C19" i="14"/>
  <c r="E29" i="48"/>
  <c r="E31"/>
  <c r="E24"/>
  <c r="E30"/>
  <c r="E28"/>
  <c r="E32"/>
  <c r="M29"/>
  <c r="M22"/>
  <c r="M26"/>
  <c r="M24"/>
  <c r="M30"/>
  <c r="M32"/>
  <c r="M25"/>
  <c r="M23"/>
  <c r="B8" i="9"/>
  <c r="B6" i="48" s="1"/>
  <c r="Q6" s="1"/>
  <c r="H29"/>
  <c r="H32"/>
  <c r="H30"/>
  <c r="H22"/>
  <c r="H25"/>
  <c r="H24"/>
  <c r="H26"/>
  <c r="H28"/>
  <c r="H23"/>
  <c r="K5"/>
  <c r="L10" i="14"/>
  <c r="L16" s="1"/>
  <c r="L27" s="1"/>
  <c r="D30" i="48"/>
  <c r="D28"/>
  <c r="D29"/>
  <c r="D31"/>
  <c r="D32"/>
  <c r="D24"/>
  <c r="L29"/>
  <c r="L32"/>
  <c r="L30"/>
  <c r="L28"/>
  <c r="L31"/>
  <c r="L27"/>
  <c r="L24"/>
  <c r="L22"/>
  <c r="Q10" i="14"/>
  <c r="P5" i="48"/>
  <c r="P23" s="1"/>
  <c r="K32"/>
  <c r="K24"/>
  <c r="K27"/>
  <c r="K26"/>
  <c r="K31"/>
  <c r="K28"/>
  <c r="K22"/>
  <c r="K29"/>
  <c r="K30"/>
  <c r="K25"/>
  <c r="C24" i="14"/>
  <c r="C26" s="1"/>
  <c r="B7" i="48"/>
  <c r="J31"/>
  <c r="J30"/>
  <c r="J32"/>
  <c r="J24"/>
  <c r="J28"/>
  <c r="J29"/>
  <c r="J27"/>
  <c r="Q11" i="14"/>
  <c r="P4"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P22" i="48"/>
  <c r="K23"/>
  <c r="K15"/>
  <c r="K33"/>
  <c r="Q16" i="14"/>
  <c r="Q27" s="1"/>
  <c r="G11"/>
  <c r="F4" i="48"/>
  <c r="F22" s="1"/>
  <c r="I5"/>
  <c r="J10" i="14"/>
  <c r="J16" s="1"/>
  <c r="J27" s="1"/>
  <c r="J63" s="1"/>
  <c r="O22" i="48"/>
  <c r="H18" i="14"/>
  <c r="G13" i="48"/>
  <c r="G31" s="1"/>
  <c r="F20" i="14"/>
  <c r="F22" s="1"/>
  <c r="E9" i="48"/>
  <c r="E27" s="1"/>
  <c r="Q13" i="14"/>
  <c r="P8" i="48"/>
  <c r="P26" s="1"/>
  <c r="D9"/>
  <c r="D27" s="1"/>
  <c r="E20" i="14"/>
  <c r="E22" s="1"/>
  <c r="P10"/>
  <c r="O5" i="48"/>
  <c r="O23" s="1"/>
  <c r="B9"/>
  <c r="C20" i="14"/>
  <c r="J7" i="48"/>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O8" i="48"/>
  <c r="J4"/>
  <c r="K11" i="14"/>
  <c r="O11"/>
  <c r="N4" i="48"/>
  <c r="N22" s="1"/>
  <c r="I15"/>
  <c r="I23"/>
  <c r="I33" s="1"/>
  <c r="P16" i="14"/>
  <c r="P27" s="1"/>
  <c r="P33" i="48"/>
  <c r="M14" i="22"/>
  <c r="P15" i="48"/>
  <c r="H19" i="14"/>
  <c r="G10" i="48"/>
  <c r="E7"/>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R20" s="1"/>
  <c r="R19"/>
  <c r="G28" i="48"/>
  <c r="Q10"/>
  <c r="R11" i="14"/>
  <c r="J5" i="48"/>
  <c r="J23" s="1"/>
  <c r="K10" i="14"/>
  <c r="F10"/>
  <c r="E5" i="48"/>
  <c r="E23" s="1"/>
  <c r="E22"/>
  <c r="Q4"/>
  <c r="O26"/>
  <c r="O33" s="1"/>
  <c r="O15"/>
  <c r="J22"/>
  <c r="Q7"/>
  <c r="N52" i="14"/>
  <c r="N61" s="1"/>
  <c r="M15" i="48"/>
  <c r="M27"/>
  <c r="M33" s="1"/>
  <c r="Q9"/>
  <c r="H15"/>
  <c r="H27"/>
  <c r="H33" s="1"/>
  <c r="N63" i="14"/>
  <c r="R24"/>
  <c r="R26" s="1"/>
  <c r="N18" i="16"/>
  <c r="E20" i="15"/>
  <c r="F40" i="14" s="1"/>
  <c r="F18" i="16"/>
  <c r="J18"/>
  <c r="E18"/>
  <c r="G18" i="22"/>
  <c r="H50" i="14" s="1"/>
  <c r="H52" s="1"/>
  <c r="H61" s="1"/>
  <c r="H18" i="22"/>
  <c r="I50" i="14" s="1"/>
  <c r="I52" s="1"/>
  <c r="I61" s="1"/>
  <c r="I63" s="1"/>
  <c r="R22" l="1"/>
  <c r="J8" i="48"/>
  <c r="K13" i="14"/>
  <c r="K16" s="1"/>
  <c r="K27" s="1"/>
  <c r="K63" s="1"/>
  <c r="H22"/>
  <c r="H27" s="1"/>
  <c r="G27" i="48"/>
  <c r="G33" s="1"/>
  <c r="G15"/>
  <c r="F13" i="14"/>
  <c r="F16" s="1"/>
  <c r="F27" s="1"/>
  <c r="E8" i="48"/>
  <c r="E26" s="1"/>
  <c r="E33" s="1"/>
  <c r="H63" i="14"/>
  <c r="N8" i="48"/>
  <c r="N26" s="1"/>
  <c r="O13" i="14"/>
  <c r="F8" i="48"/>
  <c r="G13" i="14"/>
  <c r="E22" i="16"/>
  <c r="F43" i="14" s="1"/>
  <c r="F46" s="1"/>
  <c r="F61" s="1"/>
  <c r="F22" i="16"/>
  <c r="G43" i="14" s="1"/>
  <c r="N22" i="16"/>
  <c r="O43" i="14" s="1"/>
  <c r="J22" i="16"/>
  <c r="K43" i="14" s="1"/>
  <c r="K46" s="1"/>
  <c r="K61" s="1"/>
  <c r="F63" l="1"/>
  <c r="J26" i="48"/>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<sst xmlns="http://schemas.openxmlformats.org/spreadsheetml/2006/main" count="2383" uniqueCount="881">
  <si>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</si>
  <si>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</si>
  <si>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</si>
  <si>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</si>
  <si>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</si>
  <si>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</si>
  <si>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</si>
  <si>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</si>
  <si>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</si>
  <si>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</si>
  <si>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</si>
  <si>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</si>
  <si>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</si>
  <si>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</si>
  <si>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</si>
  <si>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</si>
  <si>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</si>
  <si>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</si>
  <si>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</si>
  <si>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</si>
  <si>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</si>
  <si>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</si>
  <si>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</si>
  <si>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</si>
  <si>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</si>
  <si>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</si>
  <si>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</si>
  <si>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</si>
  <si>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</si>
  <si>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</si>
  <si>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</si>
  <si>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</si>
  <si>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</si>
  <si>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</si>
  <si>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</si>
  <si>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</si>
  <si>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</si>
  <si>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</si>
  <si>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</si>
  <si>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</si>
  <si>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</si>
  <si>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</si>
  <si>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</si>
  <si>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</si>
  <si>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</si>
  <si>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</si>
  <si>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</si>
  <si>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</si>
  <si>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</si>
  <si>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</si>
  <si>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</si>
  <si>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</si>
  <si>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</si>
  <si>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</si>
  <si>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</si>
  <si>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</si>
  <si>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</si>
  <si>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</si>
  <si>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</si>
  <si>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</si>
  <si>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</si>
  <si>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</si>
  <si>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</si>
  <si>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</si>
  <si>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</si>
  <si>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</si>
  <si>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</si>
  <si>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</si>
  <si>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</si>
  <si>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</si>
  <si>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</si>
  <si>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</si>
  <si>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</si>
  <si>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</si>
  <si>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</si>
  <si>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</si>
  <si>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</si>
  <si>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</si>
  <si>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</si>
  <si>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</si>
  <si>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</si>
  <si>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</si>
  <si>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</si>
  <si>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</si>
  <si>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</si>
  <si>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</si>
  <si>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</si>
  <si>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</si>
  <si>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</si>
  <si>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</si>
  <si>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</si>
  <si>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</si>
  <si>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</si>
  <si>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</si>
  <si>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</si>
  <si>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</si>
  <si>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</si>
  <si>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</si>
  <si>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</si>
  <si>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</si>
  <si>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</si>
  <si>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</si>
  <si>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</si>
  <si>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</si>
  <si>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</si>
  <si>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</si>
  <si>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</si>
  <si>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</si>
  <si>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</si>
  <si>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</si>
  <si>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</si>
  <si>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</si>
  <si>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</si>
  <si>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</si>
  <si>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</si>
  <si>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</si>
  <si>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</si>
  <si>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</si>
  <si>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</si>
  <si>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</si>
  <si>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</si>
  <si>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</si>
  <si>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</si>
  <si>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</si>
  <si>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</si>
  <si>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</si>
  <si>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</si>
  <si>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</si>
  <si>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</si>
  <si>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</si>
  <si>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</si>
  <si>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</si>
  <si>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</si>
  <si>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</si>
  <si>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</si>
  <si>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</si>
  <si>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</si>
  <si>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</si>
  <si>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</si>
  <si>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</si>
  <si>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</si>
  <si>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</si>
  <si>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</si>
  <si>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</si>
  <si>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</si>
  <si>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</si>
  <si>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</si>
  <si>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</si>
  <si>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</si>
  <si>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</si>
  <si>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</si>
  <si>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</si>
  <si>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</si>
  <si>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</si>
  <si>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</si>
  <si>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</si>
  <si>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</si>
  <si>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</si>
  <si>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</si>
  <si>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</si>
  <si>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</si>
  <si>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</si>
  <si>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</si>
  <si>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</si>
  <si>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</si>
  <si>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</si>
  <si>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</si>
  <si>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</si>
  <si>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</si>
  <si>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</si>
  <si>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</si>
  <si>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</si>
  <si>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</si>
  <si>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</si>
  <si>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</si>
  <si>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</si>
  <si>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</si>
  <si>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</si>
  <si>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</si>
  <si>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</si>
  <si>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</si>
  <si>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</si>
  <si>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</si>
  <si>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</si>
  <si>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</si>
  <si>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</si>
  <si>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</si>
  <si>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</si>
  <si>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</si>
  <si>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</si>
  <si>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</si>
  <si>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</si>
  <si>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</si>
  <si>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</si>
  <si>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</si>
  <si>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</si>
  <si>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</si>
  <si>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</si>
  <si>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</si>
  <si>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</si>
  <si>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</si>
  <si>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</si>
  <si>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</si>
  <si>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</si>
  <si>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</si>
  <si>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</si>
  <si>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</si>
  <si>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</si>
  <si>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</si>
  <si>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</si>
  <si>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</si>
  <si>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</si>
  <si>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</si>
  <si>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</si>
  <si>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</si>
  <si>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</si>
  <si>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</si>
  <si>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</si>
  <si>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</si>
  <si>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</si>
  <si>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</si>
  <si>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</si>
  <si>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</si>
  <si>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</si>
  <si>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</si>
  <si>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</si>
  <si>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</si>
  <si>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</si>
  <si>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</si>
  <si>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</si>
  <si>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</si>
  <si>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</si>
  <si>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</si>
  <si>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</si>
  <si>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</si>
  <si>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</si>
  <si>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</si>
  <si>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</si>
  <si>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</si>
  <si>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</si>
  <si>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</si>
  <si>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</si>
  <si>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</si>
  <si>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</si>
  <si>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</si>
  <si>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</si>
  <si>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</si>
  <si>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</si>
  <si>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</si>
  <si>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</si>
  <si>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</si>
  <si>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</si>
  <si>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</si>
  <si>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</si>
  <si>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</si>
  <si>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</si>
  <si>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</si>
  <si>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</si>
  <si>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</si>
  <si>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</si>
  <si>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</si>
  <si>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</si>
  <si>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</si>
  <si>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</si>
  <si>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</si>
  <si>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</si>
  <si>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</si>
  <si>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</si>
  <si>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</si>
  <si>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</si>
  <si>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</si>
  <si>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</si>
  <si>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</si>
  <si>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</si>
  <si>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</si>
  <si>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</si>
  <si>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</si>
  <si>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</si>
  <si>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</si>
  <si>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</si>
  <si>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</si>
  <si>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</si>
  <si>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</si>
  <si>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</si>
  <si>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</si>
  <si>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</si>
  <si>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</si>
  <si>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</si>
  <si>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</si>
  <si>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</si>
  <si>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</si>
  <si>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</si>
  <si>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</si>
  <si>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</si>
  <si>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</si>
  <si>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</si>
  <si>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</si>
  <si>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</si>
  <si>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</si>
  <si>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</si>
  <si>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</si>
  <si>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</si>
  <si>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</si>
  <si>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</si>
  <si>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</si>
  <si>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</si>
  <si>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</si>
  <si>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</si>
  <si>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</si>
  <si>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</si>
  <si>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</si>
  <si>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</si>
  <si>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</si>
  <si>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</si>
  <si>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</si>
  <si>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</si>
  <si>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</si>
  <si>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</si>
  <si>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</si>
  <si>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</si>
  <si>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</si>
  <si>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</si>
  <si>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</si>
  <si>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</si>
  <si>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</si>
  <si>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</si>
  <si>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</si>
  <si>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</si>
  <si>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</si>
  <si>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</si>
  <si>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</si>
  <si>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</si>
  <si>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</si>
  <si>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</si>
  <si>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</si>
  <si>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</si>
  <si>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</si>
  <si>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</si>
  <si>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</si>
  <si>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</si>
  <si>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</si>
  <si>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</si>
  <si>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</si>
  <si>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</si>
  <si>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</si>
  <si>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</si>
  <si>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</si>
  <si>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</si>
  <si>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</si>
  <si>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</si>
  <si>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</si>
  <si>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</si>
  <si>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</si>
  <si>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</si>
  <si>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</si>
  <si>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</si>
  <si>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</si>
  <si>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</si>
  <si>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</si>
  <si>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</si>
  <si>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</si>
  <si>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</si>
  <si>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</si>
  <si>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</si>
  <si>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</si>
  <si>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</si>
  <si>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</si>
  <si>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</si>
  <si>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</si>
  <si>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</si>
  <si>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</si>
  <si>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</si>
  <si>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</si>
  <si>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</si>
  <si>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</si>
  <si>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</si>
  <si>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</si>
  <si>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</si>
  <si>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</si>
  <si>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</si>
  <si>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</si>
  <si>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</si>
  <si>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</si>
  <si>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</si>
  <si>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</si>
  <si>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</si>
  <si>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</si>
  <si>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</si>
  <si>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</si>
  <si>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</si>
  <si>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</si>
  <si>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</si>
  <si>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</si>
  <si>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</si>
  <si>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</si>
  <si>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</si>
  <si>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</si>
  <si>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</si>
  <si>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</si>
  <si>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</si>
  <si>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</si>
  <si>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</si>
  <si>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</si>
  <si>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</si>
  <si>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</si>
  <si>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</si>
  <si>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</si>
  <si>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</si>
  <si>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</si>
  <si>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</si>
  <si>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</si>
  <si>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</si>
  <si>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</si>
  <si>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</si>
  <si>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</si>
  <si>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</si>
  <si>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</si>
  <si>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</si>
  <si>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</si>
  <si>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</si>
  <si>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</si>
  <si>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</si>
  <si>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</si>
  <si>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</si>
  <si>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</si>
  <si>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</si>
  <si>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</si>
  <si>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</si>
  <si>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</si>
  <si>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</si>
  <si>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</si>
  <si>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</si>
  <si>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</si>
  <si>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</si>
  <si>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</si>
  <si>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</si>
  <si>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</si>
  <si>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</si>
  <si>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</si>
  <si>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</si>
  <si>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</si>
  <si>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</si>
  <si>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</si>
  <si>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</si>
  <si>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</si>
  <si>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</si>
  <si>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</si>
  <si>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</si>
  <si>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</si>
  <si>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</si>
  <si>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</si>
  <si>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</si>
  <si>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</si>
  <si>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</si>
  <si>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</si>
  <si>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</si>
  <si>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</si>
  <si>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</si>
  <si>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</si>
  <si>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</si>
  <si>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</si>
  <si>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</si>
  <si>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</si>
  <si>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</si>
  <si>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</si>
  <si>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</si>
  <si>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</si>
  <si>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</si>
  <si>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</si>
  <si>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</si>
  <si>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</si>
  <si>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</si>
  <si>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</si>
  <si>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</si>
  <si>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</si>
  <si>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</si>
  <si>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</si>
  <si>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</si>
  <si>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</si>
  <si>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</si>
  <si>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</si>
  <si>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</si>
  <si>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</si>
  <si>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</si>
  <si>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</si>
  <si>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</si>
  <si>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</si>
  <si>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</si>
  <si>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</si>
  <si>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</si>
  <si>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</si>
  <si>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</si>
  <si>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</si>
  <si>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</si>
  <si>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</si>
  <si>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</si>
  <si>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</si>
  <si>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</si>
  <si>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</si>
  <si>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</si>
  <si>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</si>
  <si>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</si>
  <si>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</si>
  <si>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</si>
  <si>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</si>
  <si>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</si>
  <si>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</si>
  <si>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</si>
  <si>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</si>
  <si>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</si>
  <si>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</si>
  <si>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</si>
  <si>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</si>
  <si>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</si>
  <si>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</si>
  <si>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</si>
  <si>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</si>
  <si>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</si>
  <si>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</si>
  <si>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</si>
  <si>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</si>
  <si>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</si>
  <si>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</si>
  <si>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</si>
  <si>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</si>
  <si>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</si>
  <si>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</si>
  <si>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</si>
  <si>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</si>
  <si>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</si>
  <si>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</si>
  <si>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</si>
  <si>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</si>
  <si>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</si>
  <si>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</si>
  <si>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</si>
  <si>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</si>
  <si>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</si>
  <si>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</si>
  <si>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</si>
  <si>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</si>
  <si>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</si>
  <si>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</si>
  <si>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</si>
  <si>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</si>
  <si>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</si>
  <si>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</si>
  <si>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</si>
  <si>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</si>
  <si>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</si>
  <si>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</si>
  <si>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</si>
  <si>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</si>
  <si>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</si>
  <si>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</si>
  <si>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</si>
  <si>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</si>
  <si>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</si>
  <si>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</si>
  <si>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</si>
  <si>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</si>
  <si>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</si>
  <si>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</si>
  <si>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</si>
  <si>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</si>
  <si>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</si>
  <si>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</si>
  <si>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</si>
  <si>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</si>
  <si>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</si>
  <si>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</si>
  <si>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</si>
  <si>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</si>
  <si>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</si>
  <si>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</si>
  <si>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</si>
  <si>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</si>
  <si>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</si>
  <si>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</si>
  <si>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</si>
  <si>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</si>
  <si>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</si>
  <si>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</si>
  <si>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</si>
  <si>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</si>
  <si>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</si>
  <si>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</si>
  <si>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</si>
  <si>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</si>
  <si>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</si>
  <si>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</si>
  <si>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</si>
  <si>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</si>
  <si>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</si>
  <si>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</si>
  <si>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</si>
  <si>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</si>
  <si>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</si>
  <si>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</si>
  <si>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</si>
  <si>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</si>
  <si>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</si>
  <si>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</si>
  <si>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</si>
  <si>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</si>
  <si>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</si>
  <si>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</si>
  <si>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</si>
  <si>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</si>
  <si>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</si>
  <si>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</si>
  <si>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</si>
  <si>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</si>
  <si>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</si>
  <si>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</si>
  <si>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</si>
  <si>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</si>
  <si>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</si>
  <si>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</si>
  <si>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</si>
  <si>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</si>
  <si>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</si>
  <si>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</si>
  <si>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</si>
  <si>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</si>
  <si>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</si>
  <si>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</si>
  <si>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</si>
  <si>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</si>
  <si>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</si>
  <si>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</si>
  <si>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</si>
  <si>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</si>
  <si>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</si>
  <si>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</si>
  <si>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</si>
  <si>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</si>
  <si>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</si>
  <si>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</si>
  <si>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</si>
  <si>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</si>
  <si>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</si>
  <si>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</si>
  <si>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</si>
  <si>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</si>
  <si>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</si>
  <si>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</si>
  <si>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</si>
  <si>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</si>
  <si>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</si>
  <si>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</si>
  <si>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</si>
  <si>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</si>
  <si>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</si>
  <si>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</si>
  <si>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</si>
  <si>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</si>
  <si>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</si>
  <si>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</si>
  <si>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</si>
  <si>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</si>
  <si>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</si>
  <si>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</si>
  <si>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</si>
  <si>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</si>
  <si>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</si>
  <si>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</si>
  <si>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</si>
  <si>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</si>
  <si>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</si>
  <si>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</si>
  <si>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</si>
  <si>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</si>
  <si>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</si>
  <si>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</si>
  <si>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</si>
  <si>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</si>
  <si>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</si>
  <si>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</si>
  <si>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</si>
  <si>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</si>
  <si>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</si>
  <si>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</si>
  <si>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</si>
  <si>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</si>
  <si>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</si>
  <si>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</si>
  <si>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</si>
  <si>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</si>
  <si>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</si>
  <si>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</si>
  <si>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</si>
  <si>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</si>
  <si>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</si>
  <si>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</si>
  <si>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</si>
  <si>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</si>
  <si>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</si>
  <si>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</si>
  <si>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</si>
  <si>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</si>
  <si>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</si>
  <si>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</si>
  <si>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</si>
  <si>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</si>
  <si>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</si>
  <si>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</si>
  <si>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</si>
  <si>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</si>
  <si>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</si>
  <si>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</si>
  <si>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</si>
  <si>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</si>
  <si>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</si>
  <si>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</si>
  <si>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</si>
  <si>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</si>
  <si>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</si>
  <si>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</si>
  <si>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</si>
  <si>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</si>
  <si>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</si>
  <si>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</si>
  <si>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</si>
  <si>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</si>
  <si>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</si>
  <si>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</si>
  <si>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</si>
  <si>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</si>
  <si>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</si>
  <si>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</si>
  <si>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</si>
  <si>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</si>
  <si>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</si>
  <si>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</si>
  <si>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</si>
  <si>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</si>
  <si>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</si>
  <si>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</si>
  <si>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</si>
  <si>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</si>
  <si>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</si>
  <si>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</si>
  <si>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</si>
  <si>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</si>
  <si>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</si>
  <si>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</si>
  <si>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</si>
  <si>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</si>
  <si>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</si>
  <si>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</si>
  <si>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</si>
  <si>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</si>
  <si>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</si>
  <si>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</si>
  <si>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</si>
  <si>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</si>
  <si>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</si>
  <si>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</si>
  <si>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</si>
  <si>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</si>
  <si>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</si>
  <si>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</si>
  <si>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</si>
  <si>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</si>
  <si>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</si>
  <si>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</si>
  <si>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</si>
  <si>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</si>
  <si>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</si>
  <si>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</si>
  <si>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</si>
  <si>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</si>
  <si>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</si>
  <si>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</si>
  <si>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</si>
  <si>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</si>
  <si>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</si>
  <si>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</si>
  <si>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</si>
  <si>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</si>
  <si>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</si>
  <si>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</si>
  <si>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</si>
  <si>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</si>
  <si>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</si>
  <si>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</si>
  <si>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</si>
  <si>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</si>
  <si>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</si>
  <si>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</si>
  <si>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</si>
  <si>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</si>
  <si>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</si>
  <si>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</si>
  <si>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</si>
  <si>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</si>
  <si>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</si>
  <si>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</si>
  <si>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</si>
  <si>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</si>
  <si>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</si>
  <si>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</si>
  <si>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</si>
  <si>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</si>
  <si>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</si>
  <si>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</si>
  <si>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</si>
  <si>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</si>
  <si>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</si>
  <si>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</si>
  <si>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</si>
  <si>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</si>
  <si>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</si>
  <si>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</si>
  <si>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</si>
  <si>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</si>
  <si>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</si>
  <si>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</si>
  <si>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</si>
  <si>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</si>
  <si>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</si>
  <si>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</si>
  <si>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</si>
  <si>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</si>
  <si>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</si>
  <si>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</si>
  <si>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</si>
  <si>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</si>
  <si>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</si>
  <si>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</si>
  <si>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</si>
  <si>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</si>
  <si>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</si>
  <si>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</si>
  <si>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</si>
  <si>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</si>
  <si>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</si>
  <si>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</si>
  <si>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</si>
  <si>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</si>
  <si>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</si>
  <si>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</si>
  <si>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</si>
  <si>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</si>
  <si>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</si>
  <si>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</si>
  <si>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</si>
  <si>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</si>
  <si>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</si>
  <si>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</si>
  <si>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</si>
  <si>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</si>
  <si>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</si>
  <si>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</si>
  <si>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</si>
  <si>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</si>
  <si>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</si>
  <si>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</si>
  <si>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</si>
  <si>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</si>
  <si>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</si>
  <si>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</si>
  <si>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</si>
  <si>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</si>
  <si>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</si>
  <si>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</si>
  <si>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</si>
  <si>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</si>
  <si>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</si>
  <si>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</si>
  <si>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</si>
  <si>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</si>
  <si>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42004</t>
  </si>
  <si>
    <t>BUGGENHOUT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</si>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</sst>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116543.858053727</c:v>
                </c:pt>
                <c:pt idx="1">
                  <c:v>61849.521166817525</c:v>
                </c:pt>
                <c:pt idx="2">
                  <c:v>907.21100000000001</c:v>
                </c:pt>
                <c:pt idx="3">
                  <c:v>3185.8043579497494</c:v>
                </c:pt>
                <c:pt idx="4">
                  <c:v>121851.2633556154</c:v>
                </c:pt>
                <c:pt idx="5">
                  <c:v>72282.263497301945</c:v>
                </c:pt>
                <c:pt idx="6">
                  <c:v>453.92482914913171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36160"/>
        <c:axId val="175437696"/>
      </c:barChart>
      <c:catAx>
        <c:axId val="175436160"/>
        <c:scaling>
          <c:orientation val="minMax"/>
        </c:scaling>
        <c:axPos val="b"/>
        <c:numFmt formatCode="General" sourceLinked="0"/>
        <c:tickLblPos val="nextTo"/>
        <c:crossAx val="175437696"/>
        <c:crosses val="autoZero"/>
        <c:auto val="1"/>
        <c:lblAlgn val="ctr"/>
        <c:lblOffset val="100"/>
      </c:catAx>
      <c:valAx>
        <c:axId val="175437696"/>
        <c:scaling>
          <c:orientation val="minMax"/>
        </c:scaling>
        <c:axPos val="l"/>
        <c:majorGridlines>
          <c:spPr>
            <a:ln>
              <a:noFill/>
            </a:ln>
          </c:spPr>
        </c:majorGridlines>
        <c:numFmt formatCode="#,##0" sourceLinked="1"/>
        <c:tickLblPos val="nextTo"/>
        <c:crossAx val="1754361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116543.858053727</c:v>
                </c:pt>
                <c:pt idx="1">
                  <c:v>61849.521166817525</c:v>
                </c:pt>
                <c:pt idx="2">
                  <c:v>907.21100000000001</c:v>
                </c:pt>
                <c:pt idx="3">
                  <c:v>3185.8043579497494</c:v>
                </c:pt>
                <c:pt idx="4">
                  <c:v>121851.2633556154</c:v>
                </c:pt>
                <c:pt idx="5">
                  <c:v>72282.263497301945</c:v>
                </c:pt>
                <c:pt idx="6">
                  <c:v>453.92482914913171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23508.561607635653</c:v>
                </c:pt>
                <c:pt idx="2">
                  <c:v>10681.526301850436</c:v>
                </c:pt>
                <c:pt idx="3">
                  <c:v>189.04710681842181</c:v>
                </c:pt>
                <c:pt idx="4">
                  <c:v>805.95263349983895</c:v>
                </c:pt>
                <c:pt idx="5">
                  <c:v>23311.639961816796</c:v>
                </c:pt>
                <c:pt idx="6">
                  <c:v>18060.175248024294</c:v>
                </c:pt>
                <c:pt idx="7">
                  <c:v>114.6843638017622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47360"/>
        <c:axId val="175653248"/>
      </c:barChart>
      <c:catAx>
        <c:axId val="175647360"/>
        <c:scaling>
          <c:orientation val="minMax"/>
        </c:scaling>
        <c:axPos val="b"/>
        <c:numFmt formatCode="General" sourceLinked="0"/>
        <c:tickLblPos val="nextTo"/>
        <c:crossAx val="175653248"/>
        <c:crosses val="autoZero"/>
        <c:auto val="1"/>
        <c:lblAlgn val="ctr"/>
        <c:lblOffset val="100"/>
      </c:catAx>
      <c:valAx>
        <c:axId val="175653248"/>
        <c:scaling>
          <c:orientation val="minMax"/>
        </c:scaling>
        <c:axPos val="l"/>
        <c:majorGridlines>
          <c:spPr>
            <a:ln>
              <a:noFill/>
            </a:ln>
          </c:spPr>
        </c:majorGridlines>
        <c:numFmt formatCode="#,##0" sourceLinked="1"/>
        <c:tickLblPos val="nextTo"/>
        <c:crossAx val="1756473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23508.561607635653</c:v>
                </c:pt>
                <c:pt idx="2">
                  <c:v>10681.526301850436</c:v>
                </c:pt>
                <c:pt idx="3">
                  <c:v>189.04710681842181</c:v>
                </c:pt>
                <c:pt idx="4">
                  <c:v>805.95263349983895</c:v>
                </c:pt>
                <c:pt idx="5">
                  <c:v>23311.639961816796</c:v>
                </c:pt>
                <c:pt idx="6">
                  <c:v>18060.175248024294</c:v>
                </c:pt>
                <c:pt idx="7">
                  <c:v>114.6843638017622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28831.984250514808</v>
      </c>
      <c r="D10" s="1013">
        <f ca="1">tertiair!C16</f>
        <v>0</v>
      </c>
      <c r="E10" s="1013">
        <f ca="1">tertiair!D16</f>
        <v>15917.399646335976</v>
      </c>
      <c r="F10" s="1013">
        <f>tertiair!E16</f>
        <v>266.34319183088979</v>
      </c>
      <c r="G10" s="1013">
        <f ca="1">tertiair!F16</f>
        <v>5942.3427318658059</v>
      </c>
      <c r="H10" s="1013">
        <f>tertiair!G16</f>
        <v>0</v>
      </c>
      <c r="I10" s="1013">
        <f>tertiair!H16</f>
        <v>0</v>
      </c>
      <c r="J10" s="1013">
        <f>tertiair!I16</f>
        <v>0</v>
      </c>
      <c r="K10" s="1013">
        <f>tertiair!J16</f>
        <v>0.29834651737960921</v>
      </c>
      <c r="L10" s="1013">
        <f>tertiair!K16</f>
        <v>0</v>
      </c>
      <c r="M10" s="1013">
        <f ca="1">tertiair!L16</f>
        <v>0</v>
      </c>
      <c r="N10" s="1013">
        <f>tertiair!M16</f>
        <v>0</v>
      </c>
      <c r="O10" s="1013">
        <f ca="1">tertiair!N16</f>
        <v>11699.903999752665</v>
      </c>
      <c r="P10" s="1013">
        <f>tertiair!O16</f>
        <v>3.1266666666666669</v>
      </c>
      <c r="Q10" s="1014">
        <f>tertiair!P16</f>
        <v>95.333333333333343</v>
      </c>
      <c r="R10" s="700">
        <f ca="1">SUM(C10:Q10)</f>
        <v>62756.732166817528</v>
      </c>
      <c r="S10" s="67"/>
    </row>
    <row r="11" spans="1:19" s="473" customFormat="1">
      <c r="A11" s="809" t="s">
        <v>225</v>
      </c>
      <c r="B11" s="814"/>
      <c r="C11" s="1013">
        <f>huishoudens!B8</f>
        <v>26506.965951370821</v>
      </c>
      <c r="D11" s="1013">
        <f>huishoudens!C8</f>
        <v>0</v>
      </c>
      <c r="E11" s="1013">
        <f>huishoudens!D8</f>
        <v>52606.461188963993</v>
      </c>
      <c r="F11" s="1013">
        <f>huishoudens!E8</f>
        <v>2751.6474869420463</v>
      </c>
      <c r="G11" s="1013">
        <f>huishoudens!F8</f>
        <v>25220.368846143207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8257.7679136402785</v>
      </c>
      <c r="P11" s="1013">
        <f>huishoudens!O8</f>
        <v>228.2466666666667</v>
      </c>
      <c r="Q11" s="1014">
        <f>huishoudens!P8</f>
        <v>972.4</v>
      </c>
      <c r="R11" s="700">
        <f>SUM(C11:Q11)</f>
        <v>116543.858053727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63550.970020670225</v>
      </c>
      <c r="D13" s="1013">
        <f>industrie!C18</f>
        <v>0</v>
      </c>
      <c r="E13" s="1013">
        <f>industrie!D18</f>
        <v>29932.170802890287</v>
      </c>
      <c r="F13" s="1013">
        <f>industrie!E18</f>
        <v>3218.2548520986043</v>
      </c>
      <c r="G13" s="1013">
        <f>industrie!F18</f>
        <v>12072.184210279371</v>
      </c>
      <c r="H13" s="1013">
        <f>industrie!G18</f>
        <v>0</v>
      </c>
      <c r="I13" s="1013">
        <f>industrie!H18</f>
        <v>0</v>
      </c>
      <c r="J13" s="1013">
        <f>industrie!I18</f>
        <v>0</v>
      </c>
      <c r="K13" s="1013">
        <f>industrie!J18</f>
        <v>193.78435095963761</v>
      </c>
      <c r="L13" s="1013">
        <f>industrie!K18</f>
        <v>0</v>
      </c>
      <c r="M13" s="1013">
        <f>industrie!L18</f>
        <v>0</v>
      </c>
      <c r="N13" s="1013">
        <f>industrie!M18</f>
        <v>0</v>
      </c>
      <c r="O13" s="1013">
        <f>industrie!N18</f>
        <v>12883.899118717272</v>
      </c>
      <c r="P13" s="1013">
        <f>industrie!O18</f>
        <v>0</v>
      </c>
      <c r="Q13" s="1014">
        <f>industrie!P18</f>
        <v>0</v>
      </c>
      <c r="R13" s="700">
        <f>SUM(C13:Q13)</f>
        <v>121851.2633556154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118889.92022255585</v>
      </c>
      <c r="D16" s="732">
        <f t="shared" ref="D16:R16" ca="1" si="0">SUM(D9:D15)</f>
        <v>0</v>
      </c>
      <c r="E16" s="732">
        <f t="shared" ca="1" si="0"/>
        <v>98456.031638190267</v>
      </c>
      <c r="F16" s="732">
        <f t="shared" si="0"/>
        <v>6236.2455308715398</v>
      </c>
      <c r="G16" s="732">
        <f t="shared" ca="1" si="0"/>
        <v>43234.895788288384</v>
      </c>
      <c r="H16" s="732">
        <f t="shared" si="0"/>
        <v>0</v>
      </c>
      <c r="I16" s="732">
        <f t="shared" si="0"/>
        <v>0</v>
      </c>
      <c r="J16" s="732">
        <f t="shared" si="0"/>
        <v>0</v>
      </c>
      <c r="K16" s="732">
        <f t="shared" si="0"/>
        <v>194.08269747701721</v>
      </c>
      <c r="L16" s="732">
        <f t="shared" si="0"/>
        <v>0</v>
      </c>
      <c r="M16" s="732">
        <f t="shared" ca="1" si="0"/>
        <v>0</v>
      </c>
      <c r="N16" s="732">
        <f t="shared" si="0"/>
        <v>0</v>
      </c>
      <c r="O16" s="732">
        <f t="shared" ca="1" si="0"/>
        <v>32841.571032110216</v>
      </c>
      <c r="P16" s="732">
        <f t="shared" si="0"/>
        <v>231.37333333333336</v>
      </c>
      <c r="Q16" s="732">
        <f t="shared" si="0"/>
        <v>1067.7333333333333</v>
      </c>
      <c r="R16" s="732">
        <f t="shared" ca="1" si="0"/>
        <v>301151.85357615992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429.52945244105689</v>
      </c>
      <c r="I19" s="1013">
        <f>transport!H54</f>
        <v>0</v>
      </c>
      <c r="J19" s="1013">
        <f>transport!I54</f>
        <v>0</v>
      </c>
      <c r="K19" s="1013">
        <f>transport!J54</f>
        <v>0</v>
      </c>
      <c r="L19" s="1013">
        <f>transport!K54</f>
        <v>0</v>
      </c>
      <c r="M19" s="1013">
        <f>transport!L54</f>
        <v>0</v>
      </c>
      <c r="N19" s="1013">
        <f>transport!M54</f>
        <v>24.395376708074814</v>
      </c>
      <c r="O19" s="1013">
        <f>transport!N54</f>
        <v>0</v>
      </c>
      <c r="P19" s="1013">
        <f>transport!O54</f>
        <v>0</v>
      </c>
      <c r="Q19" s="1014">
        <f>transport!P54</f>
        <v>0</v>
      </c>
      <c r="R19" s="700">
        <f>SUM(C19:Q19)</f>
        <v>453.92482914913171</v>
      </c>
      <c r="S19" s="67"/>
    </row>
    <row r="20" spans="1:19" s="473" customFormat="1">
      <c r="A20" s="809" t="s">
        <v>307</v>
      </c>
      <c r="B20" s="814"/>
      <c r="C20" s="1013">
        <f>transport!B14</f>
        <v>29.497708935801782</v>
      </c>
      <c r="D20" s="1013">
        <f>transport!C14</f>
        <v>0</v>
      </c>
      <c r="E20" s="1013">
        <f>transport!D14</f>
        <v>135.55216643178434</v>
      </c>
      <c r="F20" s="1013">
        <f>transport!E14</f>
        <v>174.32423790233426</v>
      </c>
      <c r="G20" s="1013">
        <f>transport!F14</f>
        <v>0</v>
      </c>
      <c r="H20" s="1013">
        <f>transport!G14</f>
        <v>53308.300636090433</v>
      </c>
      <c r="I20" s="1013">
        <f>transport!H14</f>
        <v>15075.337451344696</v>
      </c>
      <c r="J20" s="1013">
        <f>transport!I14</f>
        <v>0</v>
      </c>
      <c r="K20" s="1013">
        <f>transport!J14</f>
        <v>0</v>
      </c>
      <c r="L20" s="1013">
        <f>transport!K14</f>
        <v>0</v>
      </c>
      <c r="M20" s="1013">
        <f>transport!L14</f>
        <v>0</v>
      </c>
      <c r="N20" s="1013">
        <f>transport!M14</f>
        <v>3559.2512965968872</v>
      </c>
      <c r="O20" s="1013">
        <f>transport!N14</f>
        <v>0</v>
      </c>
      <c r="P20" s="1013">
        <f>transport!O14</f>
        <v>0</v>
      </c>
      <c r="Q20" s="1014">
        <f>transport!P14</f>
        <v>0</v>
      </c>
      <c r="R20" s="700">
        <f>SUM(C20:Q20)</f>
        <v>72282.263497301945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29.497708935801782</v>
      </c>
      <c r="D22" s="812">
        <f t="shared" ref="D22:R22" si="1">SUM(D18:D21)</f>
        <v>0</v>
      </c>
      <c r="E22" s="812">
        <f t="shared" si="1"/>
        <v>135.55216643178434</v>
      </c>
      <c r="F22" s="812">
        <f t="shared" si="1"/>
        <v>174.32423790233426</v>
      </c>
      <c r="G22" s="812">
        <f t="shared" si="1"/>
        <v>0</v>
      </c>
      <c r="H22" s="812">
        <f t="shared" si="1"/>
        <v>53737.830088531489</v>
      </c>
      <c r="I22" s="812">
        <f t="shared" si="1"/>
        <v>15075.337451344696</v>
      </c>
      <c r="J22" s="812">
        <f t="shared" si="1"/>
        <v>0</v>
      </c>
      <c r="K22" s="812">
        <f t="shared" si="1"/>
        <v>0</v>
      </c>
      <c r="L22" s="812">
        <f t="shared" si="1"/>
        <v>0</v>
      </c>
      <c r="M22" s="812">
        <f t="shared" si="1"/>
        <v>0</v>
      </c>
      <c r="N22" s="812">
        <f t="shared" si="1"/>
        <v>3583.646673304962</v>
      </c>
      <c r="O22" s="812">
        <f t="shared" si="1"/>
        <v>0</v>
      </c>
      <c r="P22" s="812">
        <f t="shared" si="1"/>
        <v>0</v>
      </c>
      <c r="Q22" s="812">
        <f t="shared" si="1"/>
        <v>0</v>
      </c>
      <c r="R22" s="812">
        <f t="shared" si="1"/>
        <v>72736.188326451083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541.53484403657239</v>
      </c>
      <c r="D24" s="1013">
        <f>+landbouw!C8</f>
        <v>0</v>
      </c>
      <c r="E24" s="1013">
        <f>+landbouw!D8</f>
        <v>293.89048425227975</v>
      </c>
      <c r="F24" s="1013">
        <f>+landbouw!E8</f>
        <v>15.917363104560133</v>
      </c>
      <c r="G24" s="1013">
        <f>+landbouw!F8</f>
        <v>2256.004897249336</v>
      </c>
      <c r="H24" s="1013">
        <f>+landbouw!G8</f>
        <v>0</v>
      </c>
      <c r="I24" s="1013">
        <f>+landbouw!H8</f>
        <v>0</v>
      </c>
      <c r="J24" s="1013">
        <f>+landbouw!I8</f>
        <v>0</v>
      </c>
      <c r="K24" s="1013">
        <f>+landbouw!J8</f>
        <v>78.456769307001011</v>
      </c>
      <c r="L24" s="1013">
        <f>+landbouw!K8</f>
        <v>0</v>
      </c>
      <c r="M24" s="1013">
        <f>+landbouw!L8</f>
        <v>0</v>
      </c>
      <c r="N24" s="1013">
        <f>+landbouw!M8</f>
        <v>0</v>
      </c>
      <c r="O24" s="1013">
        <f>+landbouw!N8</f>
        <v>0</v>
      </c>
      <c r="P24" s="1013">
        <f>+landbouw!O8</f>
        <v>0</v>
      </c>
      <c r="Q24" s="1014">
        <f>+landbouw!P8</f>
        <v>0</v>
      </c>
      <c r="R24" s="700">
        <f>SUM(C24:Q24)</f>
        <v>3185.8043579497494</v>
      </c>
      <c r="S24" s="67"/>
    </row>
    <row r="25" spans="1:19" s="473" customFormat="1" ht="15" thickBot="1">
      <c r="A25" s="831" t="s">
        <v>836</v>
      </c>
      <c r="B25" s="1016"/>
      <c r="C25" s="1017">
        <f>IF(Onbekend_ele_kWh="---",0,Onbekend_ele_kWh)/1000+IF(REST_rest_ele_kWh="---",0,REST_rest_ele_kWh)/1000</f>
        <v>2056.9801154136499</v>
      </c>
      <c r="D25" s="1017"/>
      <c r="E25" s="1017">
        <f>IF(onbekend_gas_kWh="---",0,onbekend_gas_kWh)/1000+IF(REST_rest_gas_kWh="---",0,REST_rest_gas_kWh)/1000</f>
        <v>1781.74131281786</v>
      </c>
      <c r="F25" s="1017"/>
      <c r="G25" s="1017"/>
      <c r="H25" s="1017"/>
      <c r="I25" s="1017"/>
      <c r="J25" s="1017"/>
      <c r="K25" s="1017"/>
      <c r="L25" s="1017"/>
      <c r="M25" s="1017"/>
      <c r="N25" s="1017"/>
      <c r="O25" s="1017"/>
      <c r="P25" s="1017"/>
      <c r="Q25" s="1018"/>
      <c r="R25" s="700">
        <f>SUM(C25:Q25)</f>
        <v>3838.7214282315099</v>
      </c>
      <c r="S25" s="67"/>
    </row>
    <row r="26" spans="1:19" s="473" customFormat="1" ht="15.75" thickBot="1">
      <c r="A26" s="705" t="s">
        <v>837</v>
      </c>
      <c r="B26" s="817"/>
      <c r="C26" s="812">
        <f>SUM(C24:C25)</f>
        <v>2598.5149594502222</v>
      </c>
      <c r="D26" s="812">
        <f t="shared" ref="D26:R26" si="2">SUM(D24:D25)</f>
        <v>0</v>
      </c>
      <c r="E26" s="812">
        <f t="shared" si="2"/>
        <v>2075.6317970701398</v>
      </c>
      <c r="F26" s="812">
        <f t="shared" si="2"/>
        <v>15.917363104560133</v>
      </c>
      <c r="G26" s="812">
        <f t="shared" si="2"/>
        <v>2256.004897249336</v>
      </c>
      <c r="H26" s="812">
        <f t="shared" si="2"/>
        <v>0</v>
      </c>
      <c r="I26" s="812">
        <f t="shared" si="2"/>
        <v>0</v>
      </c>
      <c r="J26" s="812">
        <f t="shared" si="2"/>
        <v>0</v>
      </c>
      <c r="K26" s="812">
        <f t="shared" si="2"/>
        <v>78.456769307001011</v>
      </c>
      <c r="L26" s="812">
        <f t="shared" si="2"/>
        <v>0</v>
      </c>
      <c r="M26" s="812">
        <f t="shared" si="2"/>
        <v>0</v>
      </c>
      <c r="N26" s="812">
        <f t="shared" si="2"/>
        <v>0</v>
      </c>
      <c r="O26" s="812">
        <f t="shared" si="2"/>
        <v>0</v>
      </c>
      <c r="P26" s="812">
        <f t="shared" si="2"/>
        <v>0</v>
      </c>
      <c r="Q26" s="812">
        <f t="shared" si="2"/>
        <v>0</v>
      </c>
      <c r="R26" s="812">
        <f t="shared" si="2"/>
        <v>7024.5257861812588</v>
      </c>
      <c r="S26" s="67"/>
    </row>
    <row r="27" spans="1:19" s="473" customFormat="1" ht="17.25" thickTop="1" thickBot="1">
      <c r="A27" s="706" t="s">
        <v>116</v>
      </c>
      <c r="B27" s="805"/>
      <c r="C27" s="707">
        <f ca="1">C22+C16+C26</f>
        <v>121517.93289094188</v>
      </c>
      <c r="D27" s="707">
        <f t="shared" ref="D27:R27" ca="1" si="3">D22+D16+D26</f>
        <v>0</v>
      </c>
      <c r="E27" s="707">
        <f t="shared" ca="1" si="3"/>
        <v>100667.21560169218</v>
      </c>
      <c r="F27" s="707">
        <f t="shared" si="3"/>
        <v>6426.4871318784344</v>
      </c>
      <c r="G27" s="707">
        <f t="shared" ca="1" si="3"/>
        <v>45490.900685537723</v>
      </c>
      <c r="H27" s="707">
        <f t="shared" si="3"/>
        <v>53737.830088531489</v>
      </c>
      <c r="I27" s="707">
        <f t="shared" si="3"/>
        <v>15075.337451344696</v>
      </c>
      <c r="J27" s="707">
        <f t="shared" si="3"/>
        <v>0</v>
      </c>
      <c r="K27" s="707">
        <f t="shared" si="3"/>
        <v>272.5394667840182</v>
      </c>
      <c r="L27" s="707">
        <f t="shared" si="3"/>
        <v>0</v>
      </c>
      <c r="M27" s="707">
        <f t="shared" ca="1" si="3"/>
        <v>0</v>
      </c>
      <c r="N27" s="707">
        <f t="shared" si="3"/>
        <v>3583.646673304962</v>
      </c>
      <c r="O27" s="707">
        <f t="shared" ca="1" si="3"/>
        <v>32841.571032110216</v>
      </c>
      <c r="P27" s="707">
        <f t="shared" si="3"/>
        <v>231.37333333333336</v>
      </c>
      <c r="Q27" s="707">
        <f t="shared" si="3"/>
        <v>1067.7333333333333</v>
      </c>
      <c r="R27" s="707">
        <f t="shared" ca="1" si="3"/>
        <v>380912.5676887923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6008.0876514880529</v>
      </c>
      <c r="D40" s="1013">
        <f ca="1">tertiair!C20</f>
        <v>0</v>
      </c>
      <c r="E40" s="1013">
        <f ca="1">tertiair!D20</f>
        <v>3215.3147285598675</v>
      </c>
      <c r="F40" s="1013">
        <f>tertiair!E20</f>
        <v>60.459904545611984</v>
      </c>
      <c r="G40" s="1013">
        <f ca="1">tertiair!F20</f>
        <v>1586.6055094081703</v>
      </c>
      <c r="H40" s="1013">
        <f>tertiair!G20</f>
        <v>0</v>
      </c>
      <c r="I40" s="1013">
        <f>tertiair!H20</f>
        <v>0</v>
      </c>
      <c r="J40" s="1013">
        <f>tertiair!I20</f>
        <v>0</v>
      </c>
      <c r="K40" s="1013">
        <f>tertiair!J20</f>
        <v>0.10561466715238166</v>
      </c>
      <c r="L40" s="1013">
        <f>tertiair!K20</f>
        <v>0</v>
      </c>
      <c r="M40" s="1013">
        <f ca="1">tertiair!L20</f>
        <v>0</v>
      </c>
      <c r="N40" s="1013">
        <f>tertiair!M20</f>
        <v>0</v>
      </c>
      <c r="O40" s="1013">
        <f ca="1">tertiair!N20</f>
        <v>0</v>
      </c>
      <c r="P40" s="1013">
        <f>tertiair!O20</f>
        <v>0</v>
      </c>
      <c r="Q40" s="774">
        <f>tertiair!P20</f>
        <v>0</v>
      </c>
      <c r="R40" s="850">
        <f t="shared" ca="1" si="4"/>
        <v>10870.573408668855</v>
      </c>
    </row>
    <row r="41" spans="1:18">
      <c r="A41" s="822" t="s">
        <v>225</v>
      </c>
      <c r="B41" s="829"/>
      <c r="C41" s="1013">
        <f ca="1">huishoudens!B12</f>
        <v>5523.5939860088438</v>
      </c>
      <c r="D41" s="1013">
        <f ca="1">huishoudens!C12</f>
        <v>0</v>
      </c>
      <c r="E41" s="1013">
        <f>huishoudens!D12</f>
        <v>10626.505160170727</v>
      </c>
      <c r="F41" s="1013">
        <f>huishoudens!E12</f>
        <v>624.62397953584457</v>
      </c>
      <c r="G41" s="1013">
        <f>huishoudens!F12</f>
        <v>6733.8384819202365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23508.561607635653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13242.924763822271</v>
      </c>
      <c r="D43" s="1013">
        <f ca="1">industrie!C22</f>
        <v>0</v>
      </c>
      <c r="E43" s="1013">
        <f>industrie!D22</f>
        <v>6046.2985021838385</v>
      </c>
      <c r="F43" s="1013">
        <f>industrie!E22</f>
        <v>730.54385142638318</v>
      </c>
      <c r="G43" s="1013">
        <f>industrie!F22</f>
        <v>3223.2731841445921</v>
      </c>
      <c r="H43" s="1013">
        <f>industrie!G22</f>
        <v>0</v>
      </c>
      <c r="I43" s="1013">
        <f>industrie!H22</f>
        <v>0</v>
      </c>
      <c r="J43" s="1013">
        <f>industrie!I22</f>
        <v>0</v>
      </c>
      <c r="K43" s="1013">
        <f>industrie!J22</f>
        <v>68.59966023971171</v>
      </c>
      <c r="L43" s="1013">
        <f>industrie!K22</f>
        <v>0</v>
      </c>
      <c r="M43" s="1013">
        <f>industrie!L22</f>
        <v>0</v>
      </c>
      <c r="N43" s="1013">
        <f>industrie!M22</f>
        <v>0</v>
      </c>
      <c r="O43" s="1013">
        <f>industrie!N22</f>
        <v>0</v>
      </c>
      <c r="P43" s="1013">
        <f>industrie!O22</f>
        <v>0</v>
      </c>
      <c r="Q43" s="774">
        <f>industrie!P22</f>
        <v>0</v>
      </c>
      <c r="R43" s="849">
        <f t="shared" ca="1" si="4"/>
        <v>23311.639961816796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24774.606401319168</v>
      </c>
      <c r="D46" s="732">
        <f t="shared" ref="D46:Q46" ca="1" si="5">SUM(D39:D45)</f>
        <v>0</v>
      </c>
      <c r="E46" s="732">
        <f t="shared" ca="1" si="5"/>
        <v>19888.118390914435</v>
      </c>
      <c r="F46" s="732">
        <f t="shared" si="5"/>
        <v>1415.6277355078396</v>
      </c>
      <c r="G46" s="732">
        <f t="shared" ca="1" si="5"/>
        <v>11543.717175473001</v>
      </c>
      <c r="H46" s="732">
        <f t="shared" si="5"/>
        <v>0</v>
      </c>
      <c r="I46" s="732">
        <f t="shared" si="5"/>
        <v>0</v>
      </c>
      <c r="J46" s="732">
        <f t="shared" si="5"/>
        <v>0</v>
      </c>
      <c r="K46" s="732">
        <f t="shared" si="5"/>
        <v>68.705274906864091</v>
      </c>
      <c r="L46" s="732">
        <f t="shared" si="5"/>
        <v>0</v>
      </c>
      <c r="M46" s="732">
        <f t="shared" ca="1" si="5"/>
        <v>0</v>
      </c>
      <c r="N46" s="732">
        <f t="shared" si="5"/>
        <v>0</v>
      </c>
      <c r="O46" s="732">
        <f t="shared" ca="1" si="5"/>
        <v>0</v>
      </c>
      <c r="P46" s="732">
        <f t="shared" si="5"/>
        <v>0</v>
      </c>
      <c r="Q46" s="732">
        <f t="shared" si="5"/>
        <v>0</v>
      </c>
      <c r="R46" s="732">
        <f ca="1">SUM(R39:R45)</f>
        <v>57690.774978121306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114.6843638017622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114.6843638017622</v>
      </c>
    </row>
    <row r="50" spans="1:18">
      <c r="A50" s="825" t="s">
        <v>307</v>
      </c>
      <c r="B50" s="835"/>
      <c r="C50" s="703">
        <f ca="1">transport!B18</f>
        <v>6.1468131802692376</v>
      </c>
      <c r="D50" s="703">
        <f>transport!C18</f>
        <v>0</v>
      </c>
      <c r="E50" s="703">
        <f>transport!D18</f>
        <v>27.381537619220438</v>
      </c>
      <c r="F50" s="703">
        <f>transport!E18</f>
        <v>39.571602003829881</v>
      </c>
      <c r="G50" s="703">
        <f>transport!F18</f>
        <v>0</v>
      </c>
      <c r="H50" s="703">
        <f>transport!G18</f>
        <v>14233.316269836147</v>
      </c>
      <c r="I50" s="703">
        <f>transport!H18</f>
        <v>3753.7590253848293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18060.175248024294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6.1468131802692376</v>
      </c>
      <c r="D52" s="732">
        <f t="shared" ref="D52:Q52" ca="1" si="6">SUM(D48:D51)</f>
        <v>0</v>
      </c>
      <c r="E52" s="732">
        <f t="shared" si="6"/>
        <v>27.381537619220438</v>
      </c>
      <c r="F52" s="732">
        <f t="shared" si="6"/>
        <v>39.571602003829881</v>
      </c>
      <c r="G52" s="732">
        <f t="shared" si="6"/>
        <v>0</v>
      </c>
      <c r="H52" s="732">
        <f t="shared" si="6"/>
        <v>14348.000633637908</v>
      </c>
      <c r="I52" s="732">
        <f t="shared" si="6"/>
        <v>3753.7590253848293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18174.859611826058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112.84651035589218</v>
      </c>
      <c r="D54" s="703">
        <f ca="1">+landbouw!C12</f>
        <v>0</v>
      </c>
      <c r="E54" s="703">
        <f>+landbouw!D12</f>
        <v>59.365877818960513</v>
      </c>
      <c r="F54" s="703">
        <f>+landbouw!E12</f>
        <v>3.6132414247351501</v>
      </c>
      <c r="G54" s="703">
        <f>+landbouw!F12</f>
        <v>602.35330756557278</v>
      </c>
      <c r="H54" s="703">
        <f>+landbouw!G12</f>
        <v>0</v>
      </c>
      <c r="I54" s="703">
        <f>+landbouw!H12</f>
        <v>0</v>
      </c>
      <c r="J54" s="703">
        <f>+landbouw!I12</f>
        <v>0</v>
      </c>
      <c r="K54" s="703">
        <f>+landbouw!J12</f>
        <v>27.773696334678355</v>
      </c>
      <c r="L54" s="703">
        <f>+landbouw!K12</f>
        <v>0</v>
      </c>
      <c r="M54" s="703">
        <f>+landbouw!L12</f>
        <v>0</v>
      </c>
      <c r="N54" s="703">
        <f>+landbouw!M12</f>
        <v>0</v>
      </c>
      <c r="O54" s="703">
        <f>+landbouw!N12</f>
        <v>0</v>
      </c>
      <c r="P54" s="703">
        <f>+landbouw!O12</f>
        <v>0</v>
      </c>
      <c r="Q54" s="704">
        <f>+landbouw!P12</f>
        <v>0</v>
      </c>
      <c r="R54" s="731">
        <f ca="1">SUM(C54:Q54)</f>
        <v>805.95263349983895</v>
      </c>
    </row>
    <row r="55" spans="1:18" ht="15" thickBot="1">
      <c r="A55" s="825" t="s">
        <v>836</v>
      </c>
      <c r="B55" s="835"/>
      <c r="C55" s="703">
        <f ca="1">C25*'EF ele_warmte'!B12</f>
        <v>428.63913643239982</v>
      </c>
      <c r="D55" s="703"/>
      <c r="E55" s="703">
        <f>E25*EF_CO2_aardgas</f>
        <v>359.91174518920775</v>
      </c>
      <c r="F55" s="703"/>
      <c r="G55" s="703"/>
      <c r="H55" s="703"/>
      <c r="I55" s="703"/>
      <c r="J55" s="703"/>
      <c r="K55" s="703"/>
      <c r="L55" s="703"/>
      <c r="M55" s="703"/>
      <c r="N55" s="703"/>
      <c r="O55" s="703"/>
      <c r="P55" s="703"/>
      <c r="Q55" s="704"/>
      <c r="R55" s="731">
        <f ca="1">SUM(C55:Q55)</f>
        <v>788.55088162160757</v>
      </c>
    </row>
    <row r="56" spans="1:18" ht="15.75" thickBot="1">
      <c r="A56" s="823" t="s">
        <v>837</v>
      </c>
      <c r="B56" s="836"/>
      <c r="C56" s="732">
        <f ca="1">SUM(C54:C55)</f>
        <v>541.485646788292</v>
      </c>
      <c r="D56" s="732">
        <f t="shared" ref="D56:Q56" ca="1" si="7">SUM(D54:D55)</f>
        <v>0</v>
      </c>
      <c r="E56" s="732">
        <f t="shared" si="7"/>
        <v>419.27762300816823</v>
      </c>
      <c r="F56" s="732">
        <f t="shared" si="7"/>
        <v>3.6132414247351501</v>
      </c>
      <c r="G56" s="732">
        <f t="shared" si="7"/>
        <v>602.35330756557278</v>
      </c>
      <c r="H56" s="732">
        <f t="shared" si="7"/>
        <v>0</v>
      </c>
      <c r="I56" s="732">
        <f t="shared" si="7"/>
        <v>0</v>
      </c>
      <c r="J56" s="732">
        <f t="shared" si="7"/>
        <v>0</v>
      </c>
      <c r="K56" s="732">
        <f t="shared" si="7"/>
        <v>27.773696334678355</v>
      </c>
      <c r="L56" s="732">
        <f t="shared" si="7"/>
        <v>0</v>
      </c>
      <c r="M56" s="732">
        <f t="shared" si="7"/>
        <v>0</v>
      </c>
      <c r="N56" s="732">
        <f t="shared" si="7"/>
        <v>0</v>
      </c>
      <c r="O56" s="732">
        <f t="shared" si="7"/>
        <v>0</v>
      </c>
      <c r="P56" s="732">
        <f t="shared" si="7"/>
        <v>0</v>
      </c>
      <c r="Q56" s="733">
        <f t="shared" si="7"/>
        <v>0</v>
      </c>
      <c r="R56" s="734">
        <f ca="1">SUM(R54:R55)</f>
        <v>1594.5035151214465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25322.238861287729</v>
      </c>
      <c r="D61" s="740">
        <f t="shared" ref="D61:Q61" ca="1" si="8">D46+D52+D56</f>
        <v>0</v>
      </c>
      <c r="E61" s="740">
        <f t="shared" ca="1" si="8"/>
        <v>20334.777551541825</v>
      </c>
      <c r="F61" s="740">
        <f t="shared" si="8"/>
        <v>1458.8125789364046</v>
      </c>
      <c r="G61" s="740">
        <f t="shared" ca="1" si="8"/>
        <v>12146.070483038573</v>
      </c>
      <c r="H61" s="740">
        <f t="shared" si="8"/>
        <v>14348.000633637908</v>
      </c>
      <c r="I61" s="740">
        <f t="shared" si="8"/>
        <v>3753.7590253848293</v>
      </c>
      <c r="J61" s="740">
        <f t="shared" si="8"/>
        <v>0</v>
      </c>
      <c r="K61" s="740">
        <f t="shared" si="8"/>
        <v>96.478971241542439</v>
      </c>
      <c r="L61" s="740">
        <f t="shared" si="8"/>
        <v>0</v>
      </c>
      <c r="M61" s="740">
        <f t="shared" ca="1" si="8"/>
        <v>0</v>
      </c>
      <c r="N61" s="740">
        <f t="shared" si="8"/>
        <v>0</v>
      </c>
      <c r="O61" s="740">
        <f t="shared" ca="1" si="8"/>
        <v>0</v>
      </c>
      <c r="P61" s="740">
        <f t="shared" si="8"/>
        <v>0</v>
      </c>
      <c r="Q61" s="740">
        <f t="shared" si="8"/>
        <v>0</v>
      </c>
      <c r="R61" s="740">
        <f ca="1">R46+R52+R56</f>
        <v>77460.138105068807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0.20838273215208128</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6937.6665502734249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6937.6665502734249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26506.965951370821</v>
      </c>
      <c r="C4" s="477">
        <f>huishoudens!C8</f>
        <v>0</v>
      </c>
      <c r="D4" s="477">
        <f>huishoudens!D8</f>
        <v>52606.461188963993</v>
      </c>
      <c r="E4" s="477">
        <f>huishoudens!E8</f>
        <v>2751.6474869420463</v>
      </c>
      <c r="F4" s="477">
        <f>huishoudens!F8</f>
        <v>25220.368846143207</v>
      </c>
      <c r="G4" s="477">
        <f>huishoudens!G8</f>
        <v>0</v>
      </c>
      <c r="H4" s="477">
        <f>huishoudens!H8</f>
        <v>0</v>
      </c>
      <c r="I4" s="477">
        <f>huishoudens!I8</f>
        <v>0</v>
      </c>
      <c r="J4" s="477">
        <f>huishoudens!J8</f>
        <v>0</v>
      </c>
      <c r="K4" s="477">
        <f>huishoudens!K8</f>
        <v>0</v>
      </c>
      <c r="L4" s="477">
        <f>huishoudens!L8</f>
        <v>0</v>
      </c>
      <c r="M4" s="477">
        <f>huishoudens!M8</f>
        <v>0</v>
      </c>
      <c r="N4" s="477">
        <f>huishoudens!N8</f>
        <v>8257.7679136402785</v>
      </c>
      <c r="O4" s="477">
        <f>huishoudens!O8</f>
        <v>228.2466666666667</v>
      </c>
      <c r="P4" s="478">
        <f>huishoudens!P8</f>
        <v>972.4</v>
      </c>
      <c r="Q4" s="479">
        <f>SUM(B4:P4)</f>
        <v>116543.858053727</v>
      </c>
    </row>
    <row r="5" spans="1:17">
      <c r="A5" s="476" t="s">
        <v>156</v>
      </c>
      <c r="B5" s="477">
        <f ca="1">tertiair!B16</f>
        <v>27924.773250514809</v>
      </c>
      <c r="C5" s="477">
        <f ca="1">tertiair!C16</f>
        <v>0</v>
      </c>
      <c r="D5" s="477">
        <f ca="1">tertiair!D16</f>
        <v>15917.399646335976</v>
      </c>
      <c r="E5" s="477">
        <f>tertiair!E16</f>
        <v>266.34319183088979</v>
      </c>
      <c r="F5" s="477">
        <f ca="1">tertiair!F16</f>
        <v>5942.3427318658059</v>
      </c>
      <c r="G5" s="477">
        <f>tertiair!G16</f>
        <v>0</v>
      </c>
      <c r="H5" s="477">
        <f>tertiair!H16</f>
        <v>0</v>
      </c>
      <c r="I5" s="477">
        <f>tertiair!I16</f>
        <v>0</v>
      </c>
      <c r="J5" s="477">
        <f>tertiair!J16</f>
        <v>0.29834651737960921</v>
      </c>
      <c r="K5" s="477">
        <f>tertiair!K16</f>
        <v>0</v>
      </c>
      <c r="L5" s="477">
        <f ca="1">tertiair!L16</f>
        <v>0</v>
      </c>
      <c r="M5" s="477">
        <f>tertiair!M16</f>
        <v>0</v>
      </c>
      <c r="N5" s="477">
        <f ca="1">tertiair!N16</f>
        <v>11699.903999752665</v>
      </c>
      <c r="O5" s="477">
        <f>tertiair!O16</f>
        <v>3.1266666666666669</v>
      </c>
      <c r="P5" s="478">
        <f>tertiair!P16</f>
        <v>95.333333333333343</v>
      </c>
      <c r="Q5" s="476">
        <f t="shared" ref="Q5:Q14" ca="1" si="0">SUM(B5:P5)</f>
        <v>61849.521166817525</v>
      </c>
    </row>
    <row r="6" spans="1:17">
      <c r="A6" s="476" t="s">
        <v>194</v>
      </c>
      <c r="B6" s="477">
        <f>'openbare verlichting'!B8</f>
        <v>907.21100000000001</v>
      </c>
      <c r="C6" s="477"/>
      <c r="D6" s="477"/>
      <c r="E6" s="477"/>
      <c r="F6" s="477"/>
      <c r="G6" s="477"/>
      <c r="H6" s="477"/>
      <c r="I6" s="477"/>
      <c r="J6" s="477"/>
      <c r="K6" s="477"/>
      <c r="L6" s="477"/>
      <c r="M6" s="477"/>
      <c r="N6" s="477"/>
      <c r="O6" s="477"/>
      <c r="P6" s="478"/>
      <c r="Q6" s="476">
        <f t="shared" si="0"/>
        <v>907.21100000000001</v>
      </c>
    </row>
    <row r="7" spans="1:17">
      <c r="A7" s="476" t="s">
        <v>112</v>
      </c>
      <c r="B7" s="477">
        <f>landbouw!B8</f>
        <v>541.53484403657239</v>
      </c>
      <c r="C7" s="477">
        <f>landbouw!C8</f>
        <v>0</v>
      </c>
      <c r="D7" s="477">
        <f>landbouw!D8</f>
        <v>293.89048425227975</v>
      </c>
      <c r="E7" s="477">
        <f>landbouw!E8</f>
        <v>15.917363104560133</v>
      </c>
      <c r="F7" s="477">
        <f>landbouw!F8</f>
        <v>2256.004897249336</v>
      </c>
      <c r="G7" s="477">
        <f>landbouw!G8</f>
        <v>0</v>
      </c>
      <c r="H7" s="477">
        <f>landbouw!H8</f>
        <v>0</v>
      </c>
      <c r="I7" s="477">
        <f>landbouw!I8</f>
        <v>0</v>
      </c>
      <c r="J7" s="477">
        <f>landbouw!J8</f>
        <v>78.456769307001011</v>
      </c>
      <c r="K7" s="477">
        <f>landbouw!K8</f>
        <v>0</v>
      </c>
      <c r="L7" s="477">
        <f>landbouw!L8</f>
        <v>0</v>
      </c>
      <c r="M7" s="477">
        <f>landbouw!M8</f>
        <v>0</v>
      </c>
      <c r="N7" s="477">
        <f>landbouw!N8</f>
        <v>0</v>
      </c>
      <c r="O7" s="477">
        <f>landbouw!O8</f>
        <v>0</v>
      </c>
      <c r="P7" s="478">
        <f>landbouw!P8</f>
        <v>0</v>
      </c>
      <c r="Q7" s="476">
        <f t="shared" si="0"/>
        <v>3185.8043579497494</v>
      </c>
    </row>
    <row r="8" spans="1:17">
      <c r="A8" s="476" t="s">
        <v>635</v>
      </c>
      <c r="B8" s="477">
        <f>industrie!B18</f>
        <v>63550.970020670225</v>
      </c>
      <c r="C8" s="477">
        <f>industrie!C18</f>
        <v>0</v>
      </c>
      <c r="D8" s="477">
        <f>industrie!D18</f>
        <v>29932.170802890287</v>
      </c>
      <c r="E8" s="477">
        <f>industrie!E18</f>
        <v>3218.2548520986043</v>
      </c>
      <c r="F8" s="477">
        <f>industrie!F18</f>
        <v>12072.184210279371</v>
      </c>
      <c r="G8" s="477">
        <f>industrie!G18</f>
        <v>0</v>
      </c>
      <c r="H8" s="477">
        <f>industrie!H18</f>
        <v>0</v>
      </c>
      <c r="I8" s="477">
        <f>industrie!I18</f>
        <v>0</v>
      </c>
      <c r="J8" s="477">
        <f>industrie!J18</f>
        <v>193.78435095963761</v>
      </c>
      <c r="K8" s="477">
        <f>industrie!K18</f>
        <v>0</v>
      </c>
      <c r="L8" s="477">
        <f>industrie!L18</f>
        <v>0</v>
      </c>
      <c r="M8" s="477">
        <f>industrie!M18</f>
        <v>0</v>
      </c>
      <c r="N8" s="477">
        <f>industrie!N18</f>
        <v>12883.899118717272</v>
      </c>
      <c r="O8" s="477">
        <f>industrie!O18</f>
        <v>0</v>
      </c>
      <c r="P8" s="478">
        <f>industrie!P18</f>
        <v>0</v>
      </c>
      <c r="Q8" s="476">
        <f t="shared" si="0"/>
        <v>121851.2633556154</v>
      </c>
    </row>
    <row r="9" spans="1:17" s="482" customFormat="1">
      <c r="A9" s="480" t="s">
        <v>561</v>
      </c>
      <c r="B9" s="481">
        <f>transport!B14</f>
        <v>29.497708935801782</v>
      </c>
      <c r="C9" s="481">
        <f>transport!C14</f>
        <v>0</v>
      </c>
      <c r="D9" s="481">
        <f>transport!D14</f>
        <v>135.55216643178434</v>
      </c>
      <c r="E9" s="481">
        <f>transport!E14</f>
        <v>174.32423790233426</v>
      </c>
      <c r="F9" s="481">
        <f>transport!F14</f>
        <v>0</v>
      </c>
      <c r="G9" s="481">
        <f>transport!G14</f>
        <v>53308.300636090433</v>
      </c>
      <c r="H9" s="481">
        <f>transport!H14</f>
        <v>15075.337451344696</v>
      </c>
      <c r="I9" s="481">
        <f>transport!I14</f>
        <v>0</v>
      </c>
      <c r="J9" s="481">
        <f>transport!J14</f>
        <v>0</v>
      </c>
      <c r="K9" s="481">
        <f>transport!K14</f>
        <v>0</v>
      </c>
      <c r="L9" s="481">
        <f>transport!L14</f>
        <v>0</v>
      </c>
      <c r="M9" s="481">
        <f>transport!M14</f>
        <v>3559.2512965968872</v>
      </c>
      <c r="N9" s="481">
        <f>transport!N14</f>
        <v>0</v>
      </c>
      <c r="O9" s="481">
        <f>transport!O14</f>
        <v>0</v>
      </c>
      <c r="P9" s="481">
        <f>transport!P14</f>
        <v>0</v>
      </c>
      <c r="Q9" s="480">
        <f>SUM(B9:P9)</f>
        <v>72282.263497301945</v>
      </c>
    </row>
    <row r="10" spans="1:17">
      <c r="A10" s="476" t="s">
        <v>551</v>
      </c>
      <c r="B10" s="477">
        <f>transport!B54</f>
        <v>0</v>
      </c>
      <c r="C10" s="477">
        <f>transport!C54</f>
        <v>0</v>
      </c>
      <c r="D10" s="477">
        <f>transport!D54</f>
        <v>0</v>
      </c>
      <c r="E10" s="477">
        <f>transport!E54</f>
        <v>0</v>
      </c>
      <c r="F10" s="477">
        <f>transport!F54</f>
        <v>0</v>
      </c>
      <c r="G10" s="477">
        <f>transport!G54</f>
        <v>429.52945244105689</v>
      </c>
      <c r="H10" s="477">
        <f>transport!H54</f>
        <v>0</v>
      </c>
      <c r="I10" s="477">
        <f>transport!I54</f>
        <v>0</v>
      </c>
      <c r="J10" s="477">
        <f>transport!J54</f>
        <v>0</v>
      </c>
      <c r="K10" s="477">
        <f>transport!K54</f>
        <v>0</v>
      </c>
      <c r="L10" s="477">
        <f>transport!L54</f>
        <v>0</v>
      </c>
      <c r="M10" s="477">
        <f>transport!M54</f>
        <v>24.395376708074814</v>
      </c>
      <c r="N10" s="477">
        <f>transport!N54</f>
        <v>0</v>
      </c>
      <c r="O10" s="477">
        <f>transport!O54</f>
        <v>0</v>
      </c>
      <c r="P10" s="478">
        <f>transport!P54</f>
        <v>0</v>
      </c>
      <c r="Q10" s="476">
        <f t="shared" si="0"/>
        <v>453.92482914913171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2056.9801154136499</v>
      </c>
      <c r="C14" s="484"/>
      <c r="D14" s="484">
        <f>'SEAP template'!E25</f>
        <v>1781.74131281786</v>
      </c>
      <c r="E14" s="484"/>
      <c r="F14" s="484"/>
      <c r="G14" s="484"/>
      <c r="H14" s="484"/>
      <c r="I14" s="484"/>
      <c r="J14" s="484"/>
      <c r="K14" s="484"/>
      <c r="L14" s="484"/>
      <c r="M14" s="484"/>
      <c r="N14" s="484"/>
      <c r="O14" s="484"/>
      <c r="P14" s="485"/>
      <c r="Q14" s="476">
        <f t="shared" si="0"/>
        <v>3838.7214282315099</v>
      </c>
    </row>
    <row r="15" spans="1:17" s="486" customFormat="1">
      <c r="A15" s="1039" t="s">
        <v>555</v>
      </c>
      <c r="B15" s="987">
        <f ca="1">SUM(B4:B14)</f>
        <v>121517.93289094188</v>
      </c>
      <c r="C15" s="987">
        <f t="shared" ref="C15:Q15" ca="1" si="1">SUM(C4:C14)</f>
        <v>0</v>
      </c>
      <c r="D15" s="987">
        <f t="shared" ca="1" si="1"/>
        <v>100667.21560169218</v>
      </c>
      <c r="E15" s="987">
        <f t="shared" si="1"/>
        <v>6426.4871318784344</v>
      </c>
      <c r="F15" s="987">
        <f t="shared" ca="1" si="1"/>
        <v>45490.900685537723</v>
      </c>
      <c r="G15" s="987">
        <f t="shared" si="1"/>
        <v>53737.830088531489</v>
      </c>
      <c r="H15" s="987">
        <f t="shared" si="1"/>
        <v>15075.337451344696</v>
      </c>
      <c r="I15" s="987">
        <f t="shared" si="1"/>
        <v>0</v>
      </c>
      <c r="J15" s="987">
        <f t="shared" si="1"/>
        <v>272.53946678401826</v>
      </c>
      <c r="K15" s="987">
        <f t="shared" si="1"/>
        <v>0</v>
      </c>
      <c r="L15" s="987">
        <f t="shared" ca="1" si="1"/>
        <v>0</v>
      </c>
      <c r="M15" s="987">
        <f t="shared" si="1"/>
        <v>3583.646673304962</v>
      </c>
      <c r="N15" s="987">
        <f t="shared" ca="1" si="1"/>
        <v>32841.571032110216</v>
      </c>
      <c r="O15" s="987">
        <f t="shared" si="1"/>
        <v>231.37333333333336</v>
      </c>
      <c r="P15" s="987">
        <f t="shared" si="1"/>
        <v>1067.7333333333333</v>
      </c>
      <c r="Q15" s="987">
        <f t="shared" ca="1" si="1"/>
        <v>380912.5676887923</v>
      </c>
    </row>
    <row r="17" spans="1:17">
      <c r="A17" s="487" t="s">
        <v>556</v>
      </c>
      <c r="B17" s="786">
        <f ca="1">huishoudens!B10</f>
        <v>0.20838273215208128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5523.5939860088438</v>
      </c>
      <c r="C22" s="477">
        <f t="shared" ref="C22:C32" ca="1" si="3">C4*$C$17</f>
        <v>0</v>
      </c>
      <c r="D22" s="477">
        <f t="shared" ref="D22:D32" si="4">D4*$D$17</f>
        <v>10626.505160170727</v>
      </c>
      <c r="E22" s="477">
        <f t="shared" ref="E22:E32" si="5">E4*$E$17</f>
        <v>624.62397953584457</v>
      </c>
      <c r="F22" s="477">
        <f t="shared" ref="F22:F32" si="6">F4*$F$17</f>
        <v>6733.8384819202365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23508.561607635653</v>
      </c>
    </row>
    <row r="23" spans="1:17">
      <c r="A23" s="476" t="s">
        <v>156</v>
      </c>
      <c r="B23" s="477">
        <f t="shared" ca="1" si="2"/>
        <v>5819.0405446696313</v>
      </c>
      <c r="C23" s="477">
        <f t="shared" ca="1" si="3"/>
        <v>0</v>
      </c>
      <c r="D23" s="477">
        <f t="shared" ca="1" si="4"/>
        <v>3215.3147285598675</v>
      </c>
      <c r="E23" s="477">
        <f t="shared" si="5"/>
        <v>60.459904545611984</v>
      </c>
      <c r="F23" s="477">
        <f t="shared" ca="1" si="6"/>
        <v>1586.6055094081703</v>
      </c>
      <c r="G23" s="477">
        <f t="shared" si="7"/>
        <v>0</v>
      </c>
      <c r="H23" s="477">
        <f t="shared" si="8"/>
        <v>0</v>
      </c>
      <c r="I23" s="477">
        <f t="shared" si="9"/>
        <v>0</v>
      </c>
      <c r="J23" s="477">
        <f t="shared" si="10"/>
        <v>0.10561466715238166</v>
      </c>
      <c r="K23" s="477">
        <f t="shared" si="11"/>
        <v>0</v>
      </c>
      <c r="L23" s="477">
        <f t="shared" ca="1" si="12"/>
        <v>0</v>
      </c>
      <c r="M23" s="477">
        <f t="shared" si="13"/>
        <v>0</v>
      </c>
      <c r="N23" s="477">
        <f t="shared" ca="1" si="14"/>
        <v>0</v>
      </c>
      <c r="O23" s="477">
        <f t="shared" si="15"/>
        <v>0</v>
      </c>
      <c r="P23" s="478">
        <f t="shared" si="16"/>
        <v>0</v>
      </c>
      <c r="Q23" s="476">
        <f t="shared" ref="Q23:Q32" ca="1" si="17">SUM(B23:P23)</f>
        <v>10681.526301850436</v>
      </c>
    </row>
    <row r="24" spans="1:17">
      <c r="A24" s="476" t="s">
        <v>194</v>
      </c>
      <c r="B24" s="477">
        <f t="shared" ca="1" si="2"/>
        <v>189.04710681842181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189.04710681842181</v>
      </c>
    </row>
    <row r="25" spans="1:17">
      <c r="A25" s="476" t="s">
        <v>112</v>
      </c>
      <c r="B25" s="477">
        <f t="shared" ca="1" si="2"/>
        <v>112.84651035589218</v>
      </c>
      <c r="C25" s="477">
        <f t="shared" ca="1" si="3"/>
        <v>0</v>
      </c>
      <c r="D25" s="477">
        <f t="shared" si="4"/>
        <v>59.365877818960513</v>
      </c>
      <c r="E25" s="477">
        <f t="shared" si="5"/>
        <v>3.6132414247351501</v>
      </c>
      <c r="F25" s="477">
        <f t="shared" si="6"/>
        <v>602.35330756557278</v>
      </c>
      <c r="G25" s="477">
        <f t="shared" si="7"/>
        <v>0</v>
      </c>
      <c r="H25" s="477">
        <f t="shared" si="8"/>
        <v>0</v>
      </c>
      <c r="I25" s="477">
        <f t="shared" si="9"/>
        <v>0</v>
      </c>
      <c r="J25" s="477">
        <f t="shared" si="10"/>
        <v>27.773696334678355</v>
      </c>
      <c r="K25" s="477">
        <f t="shared" si="11"/>
        <v>0</v>
      </c>
      <c r="L25" s="477">
        <f t="shared" si="12"/>
        <v>0</v>
      </c>
      <c r="M25" s="477">
        <f t="shared" si="13"/>
        <v>0</v>
      </c>
      <c r="N25" s="477">
        <f t="shared" si="14"/>
        <v>0</v>
      </c>
      <c r="O25" s="477">
        <f t="shared" si="15"/>
        <v>0</v>
      </c>
      <c r="P25" s="478">
        <f t="shared" si="16"/>
        <v>0</v>
      </c>
      <c r="Q25" s="476">
        <f t="shared" ca="1" si="17"/>
        <v>805.95263349983895</v>
      </c>
    </row>
    <row r="26" spans="1:17">
      <c r="A26" s="476" t="s">
        <v>635</v>
      </c>
      <c r="B26" s="477">
        <f t="shared" ca="1" si="2"/>
        <v>13242.924763822271</v>
      </c>
      <c r="C26" s="477">
        <f t="shared" ca="1" si="3"/>
        <v>0</v>
      </c>
      <c r="D26" s="477">
        <f t="shared" si="4"/>
        <v>6046.2985021838385</v>
      </c>
      <c r="E26" s="477">
        <f t="shared" si="5"/>
        <v>730.54385142638318</v>
      </c>
      <c r="F26" s="477">
        <f t="shared" si="6"/>
        <v>3223.2731841445921</v>
      </c>
      <c r="G26" s="477">
        <f t="shared" si="7"/>
        <v>0</v>
      </c>
      <c r="H26" s="477">
        <f t="shared" si="8"/>
        <v>0</v>
      </c>
      <c r="I26" s="477">
        <f t="shared" si="9"/>
        <v>0</v>
      </c>
      <c r="J26" s="477">
        <f t="shared" si="10"/>
        <v>68.59966023971171</v>
      </c>
      <c r="K26" s="477">
        <f t="shared" si="11"/>
        <v>0</v>
      </c>
      <c r="L26" s="477">
        <f t="shared" si="12"/>
        <v>0</v>
      </c>
      <c r="M26" s="477">
        <f t="shared" si="13"/>
        <v>0</v>
      </c>
      <c r="N26" s="477">
        <f t="shared" si="14"/>
        <v>0</v>
      </c>
      <c r="O26" s="477">
        <f t="shared" si="15"/>
        <v>0</v>
      </c>
      <c r="P26" s="478">
        <f t="shared" si="16"/>
        <v>0</v>
      </c>
      <c r="Q26" s="476">
        <f t="shared" ca="1" si="17"/>
        <v>23311.639961816796</v>
      </c>
    </row>
    <row r="27" spans="1:17" s="482" customFormat="1">
      <c r="A27" s="480" t="s">
        <v>561</v>
      </c>
      <c r="B27" s="780">
        <f t="shared" ca="1" si="2"/>
        <v>6.1468131802692376</v>
      </c>
      <c r="C27" s="481">
        <f t="shared" ca="1" si="3"/>
        <v>0</v>
      </c>
      <c r="D27" s="481">
        <f t="shared" si="4"/>
        <v>27.381537619220438</v>
      </c>
      <c r="E27" s="481">
        <f t="shared" si="5"/>
        <v>39.571602003829881</v>
      </c>
      <c r="F27" s="481">
        <f t="shared" si="6"/>
        <v>0</v>
      </c>
      <c r="G27" s="481">
        <f t="shared" si="7"/>
        <v>14233.316269836147</v>
      </c>
      <c r="H27" s="481">
        <f t="shared" si="8"/>
        <v>3753.7590253848293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18060.175248024294</v>
      </c>
    </row>
    <row r="28" spans="1:17">
      <c r="A28" s="476" t="s">
        <v>551</v>
      </c>
      <c r="B28" s="477">
        <f t="shared" ca="1" si="2"/>
        <v>0</v>
      </c>
      <c r="C28" s="477">
        <f t="shared" ca="1" si="3"/>
        <v>0</v>
      </c>
      <c r="D28" s="477">
        <f t="shared" si="4"/>
        <v>0</v>
      </c>
      <c r="E28" s="477">
        <f t="shared" si="5"/>
        <v>0</v>
      </c>
      <c r="F28" s="477">
        <f t="shared" si="6"/>
        <v>0</v>
      </c>
      <c r="G28" s="477">
        <f t="shared" si="7"/>
        <v>114.6843638017622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114.6843638017622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428.63913643239982</v>
      </c>
      <c r="C32" s="477">
        <f t="shared" ca="1" si="3"/>
        <v>0</v>
      </c>
      <c r="D32" s="477">
        <f t="shared" si="4"/>
        <v>359.91174518920775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788.55088162160757</v>
      </c>
    </row>
    <row r="33" spans="1:17" s="486" customFormat="1">
      <c r="A33" s="1039" t="s">
        <v>555</v>
      </c>
      <c r="B33" s="987">
        <f ca="1">SUM(B22:B32)</f>
        <v>25322.238861287729</v>
      </c>
      <c r="C33" s="987">
        <f t="shared" ref="C33:Q33" ca="1" si="18">SUM(C22:C32)</f>
        <v>0</v>
      </c>
      <c r="D33" s="987">
        <f t="shared" ca="1" si="18"/>
        <v>20334.777551541825</v>
      </c>
      <c r="E33" s="987">
        <f t="shared" si="18"/>
        <v>1458.8125789364049</v>
      </c>
      <c r="F33" s="987">
        <f t="shared" ca="1" si="18"/>
        <v>12146.070483038573</v>
      </c>
      <c r="G33" s="987">
        <f t="shared" si="18"/>
        <v>14348.000633637908</v>
      </c>
      <c r="H33" s="987">
        <f t="shared" si="18"/>
        <v>3753.7590253848293</v>
      </c>
      <c r="I33" s="987">
        <f t="shared" si="18"/>
        <v>0</v>
      </c>
      <c r="J33" s="987">
        <f t="shared" si="18"/>
        <v>96.478971241542439</v>
      </c>
      <c r="K33" s="987">
        <f t="shared" si="18"/>
        <v>0</v>
      </c>
      <c r="L33" s="987">
        <f t="shared" ca="1" si="18"/>
        <v>0</v>
      </c>
      <c r="M33" s="987">
        <f t="shared" si="18"/>
        <v>0</v>
      </c>
      <c r="N33" s="987">
        <f t="shared" ca="1" si="18"/>
        <v>0</v>
      </c>
      <c r="O33" s="987">
        <f t="shared" si="18"/>
        <v>0</v>
      </c>
      <c r="P33" s="987">
        <f t="shared" si="18"/>
        <v>0</v>
      </c>
      <c r="Q33" s="987">
        <f t="shared" ca="1" si="18"/>
        <v>77460.138105068792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6937.6665502734249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6937.6665502734249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0.20838273215208128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0.20838273215208128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0.20838273215208128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0.20838273215208128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5982</v>
      </c>
      <c r="C9" s="342">
        <v>6241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1156</v>
      </c>
    </row>
    <row r="15" spans="1:6">
      <c r="A15" s="348" t="s">
        <v>184</v>
      </c>
      <c r="B15" s="334">
        <v>10</v>
      </c>
    </row>
    <row r="16" spans="1:6">
      <c r="A16" s="348" t="s">
        <v>6</v>
      </c>
      <c r="B16" s="334">
        <v>603</v>
      </c>
    </row>
    <row r="17" spans="1:6">
      <c r="A17" s="348" t="s">
        <v>7</v>
      </c>
      <c r="B17" s="334">
        <v>178</v>
      </c>
    </row>
    <row r="18" spans="1:6">
      <c r="A18" s="348" t="s">
        <v>8</v>
      </c>
      <c r="B18" s="334">
        <v>485</v>
      </c>
    </row>
    <row r="19" spans="1:6">
      <c r="A19" s="348" t="s">
        <v>9</v>
      </c>
      <c r="B19" s="334">
        <v>456</v>
      </c>
    </row>
    <row r="20" spans="1:6">
      <c r="A20" s="348" t="s">
        <v>10</v>
      </c>
      <c r="B20" s="334">
        <v>258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4088</v>
      </c>
    </row>
    <row r="29" spans="1:6">
      <c r="A29" s="355" t="s">
        <v>744</v>
      </c>
      <c r="B29" s="355">
        <v>111</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3568</v>
      </c>
      <c r="D39" s="334">
        <v>58322019.056501098</v>
      </c>
      <c r="E39" s="334">
        <v>5793</v>
      </c>
      <c r="F39" s="334">
        <v>23144726.803872701</v>
      </c>
    </row>
    <row r="40" spans="1:6">
      <c r="A40" s="348" t="s">
        <v>30</v>
      </c>
      <c r="B40" s="348" t="s">
        <v>29</v>
      </c>
      <c r="C40" s="334">
        <v>0</v>
      </c>
      <c r="D40" s="334">
        <v>0</v>
      </c>
      <c r="E40" s="334">
        <v>0</v>
      </c>
      <c r="F40" s="334">
        <v>0</v>
      </c>
    </row>
    <row r="41" spans="1:6">
      <c r="A41" s="348" t="s">
        <v>32</v>
      </c>
      <c r="B41" s="348" t="s">
        <v>33</v>
      </c>
      <c r="C41" s="334">
        <v>42</v>
      </c>
      <c r="D41" s="334">
        <v>881254.94702389406</v>
      </c>
      <c r="E41" s="334">
        <v>99</v>
      </c>
      <c r="F41" s="334">
        <v>700805.29226901196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123921.477760273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411919.28106946801</v>
      </c>
      <c r="E47" s="334">
        <v>0</v>
      </c>
      <c r="F47" s="334">
        <v>0</v>
      </c>
    </row>
    <row r="48" spans="1:6">
      <c r="A48" s="348" t="s">
        <v>32</v>
      </c>
      <c r="B48" s="348" t="s">
        <v>29</v>
      </c>
      <c r="C48" s="334">
        <v>28</v>
      </c>
      <c r="D48" s="334">
        <v>25897230.077509601</v>
      </c>
      <c r="E48" s="334">
        <v>35</v>
      </c>
      <c r="F48" s="334">
        <v>54129994.490353003</v>
      </c>
    </row>
    <row r="49" spans="1:6">
      <c r="A49" s="348" t="s">
        <v>32</v>
      </c>
      <c r="B49" s="348" t="s">
        <v>40</v>
      </c>
      <c r="C49" s="334">
        <v>0</v>
      </c>
      <c r="D49" s="334">
        <v>0</v>
      </c>
      <c r="E49" s="334">
        <v>3</v>
      </c>
      <c r="F49" s="334">
        <v>6124064.1543290596</v>
      </c>
    </row>
    <row r="50" spans="1:6">
      <c r="A50" s="348" t="s">
        <v>32</v>
      </c>
      <c r="B50" s="348" t="s">
        <v>41</v>
      </c>
      <c r="C50" s="334">
        <v>14</v>
      </c>
      <c r="D50" s="334">
        <v>5993820.53130423</v>
      </c>
      <c r="E50" s="334">
        <v>22</v>
      </c>
      <c r="F50" s="334">
        <v>2472184.6059588799</v>
      </c>
    </row>
    <row r="51" spans="1:6">
      <c r="A51" s="348" t="s">
        <v>42</v>
      </c>
      <c r="B51" s="348" t="s">
        <v>43</v>
      </c>
      <c r="C51" s="334">
        <v>3</v>
      </c>
      <c r="D51" s="334">
        <v>40458.469166839197</v>
      </c>
      <c r="E51" s="334">
        <v>35</v>
      </c>
      <c r="F51" s="334">
        <v>465794.75755055202</v>
      </c>
    </row>
    <row r="52" spans="1:6">
      <c r="A52" s="348" t="s">
        <v>42</v>
      </c>
      <c r="B52" s="348" t="s">
        <v>29</v>
      </c>
      <c r="C52" s="334">
        <v>7</v>
      </c>
      <c r="D52" s="334">
        <v>285362.46681129799</v>
      </c>
      <c r="E52" s="334">
        <v>8</v>
      </c>
      <c r="F52" s="334">
        <v>75740.0864860203</v>
      </c>
    </row>
    <row r="53" spans="1:6">
      <c r="A53" s="348" t="s">
        <v>44</v>
      </c>
      <c r="B53" s="348" t="s">
        <v>45</v>
      </c>
      <c r="C53" s="334">
        <v>86</v>
      </c>
      <c r="D53" s="334">
        <v>1781741.3128178599</v>
      </c>
      <c r="E53" s="334">
        <v>256</v>
      </c>
      <c r="F53" s="334">
        <v>2056980.1154136499</v>
      </c>
    </row>
    <row r="54" spans="1:6">
      <c r="A54" s="348" t="s">
        <v>46</v>
      </c>
      <c r="B54" s="348" t="s">
        <v>47</v>
      </c>
      <c r="C54" s="334">
        <v>0</v>
      </c>
      <c r="D54" s="334">
        <v>0</v>
      </c>
      <c r="E54" s="334">
        <v>1</v>
      </c>
      <c r="F54" s="334">
        <v>907211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1027672.58687043</v>
      </c>
      <c r="E57" s="334">
        <v>50</v>
      </c>
      <c r="F57" s="334">
        <v>12839795.3212975</v>
      </c>
    </row>
    <row r="58" spans="1:6">
      <c r="A58" s="348" t="s">
        <v>49</v>
      </c>
      <c r="B58" s="348" t="s">
        <v>51</v>
      </c>
      <c r="C58" s="334">
        <v>27</v>
      </c>
      <c r="D58" s="334">
        <v>1423845.90217589</v>
      </c>
      <c r="E58" s="334">
        <v>26</v>
      </c>
      <c r="F58" s="334">
        <v>186527.45161960501</v>
      </c>
    </row>
    <row r="59" spans="1:6">
      <c r="A59" s="348" t="s">
        <v>49</v>
      </c>
      <c r="B59" s="348" t="s">
        <v>52</v>
      </c>
      <c r="C59" s="334">
        <v>55</v>
      </c>
      <c r="D59" s="334">
        <v>1837916.3983627299</v>
      </c>
      <c r="E59" s="334">
        <v>126</v>
      </c>
      <c r="F59" s="334">
        <v>3451836.76587696</v>
      </c>
    </row>
    <row r="60" spans="1:6">
      <c r="A60" s="348" t="s">
        <v>49</v>
      </c>
      <c r="B60" s="348" t="s">
        <v>53</v>
      </c>
      <c r="C60" s="334">
        <v>44</v>
      </c>
      <c r="D60" s="334">
        <v>2096938.42799992</v>
      </c>
      <c r="E60" s="334">
        <v>56</v>
      </c>
      <c r="F60" s="334">
        <v>1162938.86427057</v>
      </c>
    </row>
    <row r="61" spans="1:6">
      <c r="A61" s="348" t="s">
        <v>49</v>
      </c>
      <c r="B61" s="348" t="s">
        <v>54</v>
      </c>
      <c r="C61" s="334">
        <v>92</v>
      </c>
      <c r="D61" s="334">
        <v>5187147.7701839805</v>
      </c>
      <c r="E61" s="334">
        <v>150</v>
      </c>
      <c r="F61" s="334">
        <v>1612768.1995280599</v>
      </c>
    </row>
    <row r="62" spans="1:6">
      <c r="A62" s="348" t="s">
        <v>49</v>
      </c>
      <c r="B62" s="348" t="s">
        <v>55</v>
      </c>
      <c r="C62" s="334">
        <v>13</v>
      </c>
      <c r="D62" s="334">
        <v>1774102.3130954299</v>
      </c>
      <c r="E62" s="334">
        <v>13</v>
      </c>
      <c r="F62" s="334">
        <v>558295.94045730296</v>
      </c>
    </row>
    <row r="63" spans="1:6">
      <c r="A63" s="348" t="s">
        <v>49</v>
      </c>
      <c r="B63" s="348" t="s">
        <v>29</v>
      </c>
      <c r="C63" s="334">
        <v>79</v>
      </c>
      <c r="D63" s="334">
        <v>4299161.1316175796</v>
      </c>
      <c r="E63" s="334">
        <v>96</v>
      </c>
      <c r="F63" s="334">
        <v>8112610.7074648105</v>
      </c>
    </row>
    <row r="64" spans="1:6">
      <c r="A64" s="348" t="s">
        <v>56</v>
      </c>
      <c r="B64" s="348" t="s">
        <v>57</v>
      </c>
      <c r="C64" s="334">
        <v>0</v>
      </c>
      <c r="D64" s="334">
        <v>0</v>
      </c>
      <c r="E64" s="334">
        <v>0</v>
      </c>
      <c r="F64" s="334">
        <v>0</v>
      </c>
    </row>
    <row r="65" spans="1:6">
      <c r="A65" s="348" t="s">
        <v>56</v>
      </c>
      <c r="B65" s="348" t="s">
        <v>29</v>
      </c>
      <c r="C65" s="334">
        <v>2</v>
      </c>
      <c r="D65" s="334">
        <v>46632.591596809398</v>
      </c>
      <c r="E65" s="334">
        <v>4</v>
      </c>
      <c r="F65" s="334">
        <v>40394.353610968297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166777.93030149501</v>
      </c>
      <c r="E68" s="334">
        <v>13</v>
      </c>
      <c r="F68" s="334">
        <v>150044.01307069001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23702106</v>
      </c>
      <c r="E73" s="475">
        <v>26011555.703211963</v>
      </c>
    </row>
    <row r="74" spans="1:6">
      <c r="A74" s="348" t="s">
        <v>64</v>
      </c>
      <c r="B74" s="348" t="s">
        <v>657</v>
      </c>
      <c r="C74" s="1295" t="s">
        <v>659</v>
      </c>
      <c r="D74" s="475">
        <v>1893046</v>
      </c>
      <c r="E74" s="475">
        <v>2216155.4455984491</v>
      </c>
    </row>
    <row r="75" spans="1:6">
      <c r="A75" s="348" t="s">
        <v>65</v>
      </c>
      <c r="B75" s="348" t="s">
        <v>656</v>
      </c>
      <c r="C75" s="1295" t="s">
        <v>660</v>
      </c>
      <c r="D75" s="475">
        <v>51278729</v>
      </c>
      <c r="E75" s="475">
        <v>55883521.659071125</v>
      </c>
    </row>
    <row r="76" spans="1:6">
      <c r="A76" s="348" t="s">
        <v>65</v>
      </c>
      <c r="B76" s="348" t="s">
        <v>657</v>
      </c>
      <c r="C76" s="1295" t="s">
        <v>661</v>
      </c>
      <c r="D76" s="475">
        <v>1704867</v>
      </c>
      <c r="E76" s="475">
        <v>1986846.3793286758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123112</v>
      </c>
      <c r="C83" s="475">
        <v>122639.44653430076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3362.2391474981205</v>
      </c>
    </row>
    <row r="92" spans="1:6">
      <c r="A92" s="341" t="s">
        <v>69</v>
      </c>
      <c r="B92" s="342">
        <v>3575.4274027753045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5</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121517.93289094188</v>
      </c>
      <c r="C3" s="43" t="s">
        <v>170</v>
      </c>
      <c r="D3" s="43"/>
      <c r="E3" s="154"/>
      <c r="F3" s="43"/>
      <c r="G3" s="43"/>
      <c r="H3" s="43"/>
      <c r="I3" s="43"/>
      <c r="J3" s="43"/>
      <c r="K3" s="96"/>
    </row>
    <row r="4" spans="1:11">
      <c r="A4" s="383" t="s">
        <v>171</v>
      </c>
      <c r="B4" s="49">
        <f>IF(ISERROR('SEAP template'!B78+'SEAP template'!C78),0,'SEAP template'!B78+'SEAP template'!C78)</f>
        <v>6937.6665502734249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0.20838273215208128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907.21100000000001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0.20838273215208128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189.04710681842181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B46*B57</f>
        <v>2751.6474869420463</v>
      </c>
      <c r="F5" s="17">
        <f>B51*B62</f>
        <v>25220.368846143207</v>
      </c>
      <c r="G5" s="18"/>
      <c r="H5" s="17"/>
      <c r="I5" s="17"/>
      <c r="J5" s="17">
        <f>B50*B61+C50*C61</f>
        <v>0</v>
      </c>
      <c r="K5" s="17"/>
      <c r="L5" s="17"/>
      <c r="M5" s="17"/>
      <c r="N5" s="17">
        <f>B48*B59+C48*C59</f>
        <v>8257.7679136402785</v>
      </c>
      <c r="O5" s="17">
        <f>B69*B70*B71</f>
        <v>228.2466666666667</v>
      </c>
      <c r="P5" s="17">
        <f>B77*B78*B79/1000-B77*B78*B79/1000/B80</f>
        <v>972.4</v>
      </c>
    </row>
    <row r="6" spans="1:16">
      <c r="A6" s="16" t="s">
        <v>621</v>
      </c>
      <c r="B6" s="788">
        <f>kWh_PV_kleiner_dan_10kW</f>
        <v>3362.2391474981205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26506.965951370821</v>
      </c>
      <c r="C8" s="21">
        <f>C5</f>
        <v>0</v>
      </c>
      <c r="D8" s="21">
        <f>D5</f>
        <v>52606.461188963993</v>
      </c>
      <c r="E8" s="21">
        <f>E5</f>
        <v>2751.6474869420463</v>
      </c>
      <c r="F8" s="21">
        <f>F5</f>
        <v>25220.368846143207</v>
      </c>
      <c r="G8" s="21"/>
      <c r="H8" s="21"/>
      <c r="I8" s="21"/>
      <c r="J8" s="21">
        <f>J5</f>
        <v>0</v>
      </c>
      <c r="K8" s="21"/>
      <c r="L8" s="21">
        <f>L5</f>
        <v>0</v>
      </c>
      <c r="M8" s="21">
        <f>M5</f>
        <v>0</v>
      </c>
      <c r="N8" s="21">
        <f>N5</f>
        <v>8257.7679136402785</v>
      </c>
      <c r="O8" s="21">
        <f>O5</f>
        <v>228.2466666666667</v>
      </c>
      <c r="P8" s="21">
        <f>P5</f>
        <v>972.4</v>
      </c>
    </row>
    <row r="9" spans="1:16">
      <c r="B9" s="19"/>
      <c r="C9" s="19"/>
      <c r="D9" s="258"/>
      <c r="E9" s="19"/>
      <c r="F9" s="19"/>
      <c r="G9" s="19"/>
      <c r="H9" s="19"/>
      <c r="I9" s="19"/>
      <c r="J9" s="19"/>
      <c r="K9" s="19"/>
      <c r="L9" s="19"/>
      <c r="M9" s="19"/>
      <c r="N9" s="19"/>
      <c r="O9" s="19"/>
      <c r="P9" s="19"/>
    </row>
    <row r="10" spans="1:16">
      <c r="A10" s="24" t="s">
        <v>214</v>
      </c>
      <c r="B10" s="25">
        <f ca="1">'EF ele_warmte'!B12</f>
        <v>0.20838273215208128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5523.5939860088438</v>
      </c>
      <c r="C12" s="23">
        <f ca="1">C10*C8</f>
        <v>0</v>
      </c>
      <c r="D12" s="23">
        <f>D8*D10</f>
        <v>10626.505160170727</v>
      </c>
      <c r="E12" s="23">
        <f>E10*E8</f>
        <v>624.62397953584457</v>
      </c>
      <c r="F12" s="23">
        <f>F10*F8</f>
        <v>6733.8384819202365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5982</v>
      </c>
      <c r="C28" s="36"/>
      <c r="D28" s="228"/>
    </row>
    <row r="29" spans="1:7" s="15" customFormat="1">
      <c r="A29" s="230" t="s">
        <v>794</v>
      </c>
      <c r="B29" s="37">
        <f>SUM(HH_hh_gas_aantal,HH_rest_gas_aantal)</f>
        <v>3568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3568</v>
      </c>
      <c r="C32" s="167">
        <f>IF(ISERROR(B32/SUM($B$32,$B$34,$B$35,$B$36,$B$38,$B$39)*100),0,B32/SUM($B$32,$B$34,$B$35,$B$36,$B$38,$B$39)*100)</f>
        <v>60.158489293542402</v>
      </c>
      <c r="D32" s="233"/>
      <c r="G32" s="15"/>
    </row>
    <row r="33" spans="1:7">
      <c r="A33" s="171" t="s">
        <v>72</v>
      </c>
      <c r="B33" s="34" t="s">
        <v>111</v>
      </c>
      <c r="C33" s="167"/>
      <c r="D33" s="233"/>
      <c r="G33" s="15"/>
    </row>
    <row r="34" spans="1:7">
      <c r="A34" s="171" t="s">
        <v>73</v>
      </c>
      <c r="B34" s="33">
        <f>IF((($B$28-$B$32-$B$39-$B$77-$B$38)*C20/100)&lt;0,0,($B$28-$B$32-$B$39-$B$77-$B$38)*C20/100)</f>
        <v>129.95754189944134</v>
      </c>
      <c r="C34" s="167">
        <f>IF(ISERROR(B34/SUM($B$32,$B$34,$B$35,$B$36,$B$38,$B$39)*100),0,B34/SUM($B$32,$B$34,$B$35,$B$36,$B$38,$B$39)*100)</f>
        <v>2.1911573410797729</v>
      </c>
      <c r="D34" s="233"/>
      <c r="G34" s="15"/>
    </row>
    <row r="35" spans="1:7">
      <c r="A35" s="171" t="s">
        <v>74</v>
      </c>
      <c r="B35" s="33">
        <f>IF((($B$28-$B$32-$B$39-$B$77-$B$38)*C21/100)&lt;0,0,($B$28-$B$32-$B$39-$B$77-$B$38)*C21/100)</f>
        <v>1144.4022346368715</v>
      </c>
      <c r="C35" s="167">
        <f>IF(ISERROR(B35/SUM($B$32,$B$34,$B$35,$B$36,$B$38,$B$39)*100),0,B35/SUM($B$32,$B$34,$B$35,$B$36,$B$38,$B$39)*100)</f>
        <v>19.295266137866658</v>
      </c>
      <c r="D35" s="233"/>
      <c r="G35" s="15"/>
    </row>
    <row r="36" spans="1:7">
      <c r="A36" s="171" t="s">
        <v>75</v>
      </c>
      <c r="B36" s="33">
        <f>IF((($B$28-$B$32-$B$39-$B$77-$B$38)*C22/100)&lt;0,0,($B$28-$B$32-$B$39-$B$77-$B$38)*C22/100)</f>
        <v>114.44022346368715</v>
      </c>
      <c r="C36" s="167">
        <f>IF(ISERROR(B36/SUM($B$32,$B$34,$B$35,$B$36,$B$38,$B$39)*100),0,B36/SUM($B$32,$B$34,$B$35,$B$36,$B$38,$B$39)*100)</f>
        <v>1.9295266137866658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974.2</v>
      </c>
      <c r="C39" s="167">
        <f>IF(ISERROR(B39/SUM($B$32,$B$34,$B$35,$B$36,$B$38,$B$39)*100),0,B39/SUM($B$32,$B$34,$B$35,$B$36,$B$38,$B$39)*100)</f>
        <v>16.4255606137245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3568</v>
      </c>
      <c r="C44" s="34" t="s">
        <v>111</v>
      </c>
      <c r="D44" s="174"/>
    </row>
    <row r="45" spans="1:7">
      <c r="A45" s="171" t="s">
        <v>72</v>
      </c>
      <c r="B45" s="33" t="str">
        <f t="shared" si="0"/>
        <v>-</v>
      </c>
      <c r="C45" s="34" t="s">
        <v>111</v>
      </c>
      <c r="D45" s="174"/>
    </row>
    <row r="46" spans="1:7">
      <c r="A46" s="171" t="s">
        <v>73</v>
      </c>
      <c r="B46" s="33">
        <f t="shared" si="0"/>
        <v>129.95754189944134</v>
      </c>
      <c r="C46" s="34" t="s">
        <v>111</v>
      </c>
      <c r="D46" s="174"/>
    </row>
    <row r="47" spans="1:7">
      <c r="A47" s="171" t="s">
        <v>74</v>
      </c>
      <c r="B47" s="33">
        <f t="shared" si="0"/>
        <v>1144.4022346368715</v>
      </c>
      <c r="C47" s="34" t="s">
        <v>111</v>
      </c>
      <c r="D47" s="174"/>
    </row>
    <row r="48" spans="1:7">
      <c r="A48" s="171" t="s">
        <v>75</v>
      </c>
      <c r="B48" s="33">
        <f t="shared" si="0"/>
        <v>114.44022346368715</v>
      </c>
      <c r="C48" s="33">
        <f>B48*10</f>
        <v>1144.4022346368715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974.2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54</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53</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52</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51</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50</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55</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260</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0.20838273215208128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5819.0405446696313</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1612.76819952806</v>
      </c>
      <c r="C26" s="39">
        <f>IF(ISERROR(B26*3.6/1000000/'E Balans VL '!Z12*100),0,B26*3.6/1000000/'E Balans VL '!Z12*100)</f>
        <v>3.4091364906828472E-2</v>
      </c>
      <c r="D26" s="237" t="s">
        <v>754</v>
      </c>
      <c r="F26" s="6"/>
    </row>
    <row r="27" spans="1:18">
      <c r="A27" s="231" t="s">
        <v>53</v>
      </c>
      <c r="B27" s="33">
        <f>IF(ISERROR(TER_horeca_ele_kWh/1000),0,TER_horeca_ele_kWh/1000)</f>
        <v>1162.9388642705701</v>
      </c>
      <c r="C27" s="39">
        <f>IF(ISERROR(B27*3.6/1000000/'E Balans VL '!Z9*100),0,B27*3.6/1000000/'E Balans VL '!Z9*100)</f>
        <v>9.1674037221005922E-2</v>
      </c>
      <c r="D27" s="237" t="s">
        <v>754</v>
      </c>
      <c r="F27" s="6"/>
    </row>
    <row r="28" spans="1:18">
      <c r="A28" s="171" t="s">
        <v>52</v>
      </c>
      <c r="B28" s="33">
        <f>IF(ISERROR(TER_handel_ele_kWh/1000),0,TER_handel_ele_kWh/1000)</f>
        <v>3451.8367658769598</v>
      </c>
      <c r="C28" s="39">
        <f>IF(ISERROR(B28*3.6/1000000/'E Balans VL '!Z13*100),0,B28*3.6/1000000/'E Balans VL '!Z13*100)</f>
        <v>0.10018624992912814</v>
      </c>
      <c r="D28" s="237" t="s">
        <v>754</v>
      </c>
      <c r="F28" s="6"/>
    </row>
    <row r="29" spans="1:18">
      <c r="A29" s="231" t="s">
        <v>51</v>
      </c>
      <c r="B29" s="33">
        <f>IF(ISERROR(TER_gezond_ele_kWh/1000),0,TER_gezond_ele_kWh/1000)</f>
        <v>186.52745161960502</v>
      </c>
      <c r="C29" s="39">
        <f>IF(ISERROR(B29*3.6/1000000/'E Balans VL '!Z10*100),0,B29*3.6/1000000/'E Balans VL '!Z10*100)</f>
        <v>1.9644403517147708E-2</v>
      </c>
      <c r="D29" s="237" t="s">
        <v>754</v>
      </c>
      <c r="F29" s="6"/>
    </row>
    <row r="30" spans="1:18">
      <c r="A30" s="231" t="s">
        <v>50</v>
      </c>
      <c r="B30" s="33">
        <f>IF(ISERROR(TER_ander_ele_kWh/1000),0,TER_ander_ele_kWh/1000)</f>
        <v>12839.795321297501</v>
      </c>
      <c r="C30" s="39">
        <f>IF(ISERROR(B30*3.6/1000000/'E Balans VL '!Z14*100),0,B30*3.6/1000000/'E Balans VL '!Z14*100)</f>
        <v>0.94706609168857503</v>
      </c>
      <c r="D30" s="237" t="s">
        <v>754</v>
      </c>
      <c r="F30" s="6"/>
    </row>
    <row r="31" spans="1:18">
      <c r="A31" s="231" t="s">
        <v>55</v>
      </c>
      <c r="B31" s="33">
        <f>IF(ISERROR(TER_onderwijs_ele_kWh/1000),0,TER_onderwijs_ele_kWh/1000)</f>
        <v>558.295940457303</v>
      </c>
      <c r="C31" s="39">
        <f>IF(ISERROR(B31*3.6/1000000/'E Balans VL '!Z11*100),0,B31*3.6/1000000/'E Balans VL '!Z11*100)</f>
        <v>0.1386510341375517</v>
      </c>
      <c r="D31" s="237" t="s">
        <v>754</v>
      </c>
    </row>
    <row r="32" spans="1:18">
      <c r="A32" s="231" t="s">
        <v>260</v>
      </c>
      <c r="B32" s="33">
        <f>IF(ISERROR(TER_rest_ele_kWh/1000),0,TER_rest_ele_kWh/1000)</f>
        <v>8112.6107074648107</v>
      </c>
      <c r="C32" s="39">
        <f>IF(ISERROR(B32*3.6/1000000/'E Balans VL '!Z8*100),0,B32*3.6/1000000/'E Balans VL '!Z8*100)</f>
        <v>6.67560177263571E-2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12883.899118717272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33</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231.55693728517176</v>
      </c>
      <c r="O9" s="33"/>
      <c r="P9" s="33"/>
      <c r="R9" s="32"/>
    </row>
    <row r="10" spans="1:18">
      <c r="A10" s="6" t="s">
        <v>41</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40</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12142.207420668599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12883.899118717272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0.20838273215208128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13242.924763822271</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123.92147776027301</v>
      </c>
      <c r="C30" s="39">
        <f>IF(ISERROR(B30*3.6/1000000/'E Balans VL '!Z18*100),0,B30*3.6/1000000/'E Balans VL '!Z18*100)</f>
        <v>7.0229479001263926E-3</v>
      </c>
      <c r="D30" s="237" t="s">
        <v>754</v>
      </c>
    </row>
    <row r="31" spans="1:18">
      <c r="A31" s="6" t="s">
        <v>33</v>
      </c>
      <c r="B31" s="37">
        <f>IF( ISERROR(IND_ander_ele_kWh/1000),0,IND_ander_ele_kWh/1000)</f>
        <v>700.80529226901194</v>
      </c>
      <c r="C31" s="39">
        <f>IF(ISERROR(B31*3.6/1000000/'E Balans VL '!Z19*100),0,B31*3.6/1000000/'E Balans VL '!Z19*100)</f>
        <v>3.1785609954874054E-2</v>
      </c>
      <c r="D31" s="237" t="s">
        <v>754</v>
      </c>
    </row>
    <row r="32" spans="1:18">
      <c r="A32" s="171" t="s">
        <v>41</v>
      </c>
      <c r="B32" s="37">
        <f>IF( ISERROR(IND_voed_ele_kWh/1000),0,IND_voed_ele_kWh/1000)</f>
        <v>2472.1846059588797</v>
      </c>
      <c r="C32" s="39">
        <f>IF(ISERROR(B32*3.6/1000000/'E Balans VL '!Z20*100),0,B32*3.6/1000000/'E Balans VL '!Z20*100)</f>
        <v>7.6475892632819051E-2</v>
      </c>
      <c r="D32" s="237" t="s">
        <v>754</v>
      </c>
    </row>
    <row r="33" spans="1:5">
      <c r="A33" s="171" t="s">
        <v>40</v>
      </c>
      <c r="B33" s="37">
        <f>IF( ISERROR(IND_textiel_ele_kWh/1000),0,IND_textiel_ele_kWh/1000)</f>
        <v>6124.0641543290594</v>
      </c>
      <c r="C33" s="39">
        <f>IF(ISERROR(B33*3.6/1000000/'E Balans VL '!Z21*100),0,B33*3.6/1000000/'E Balans VL '!Z21*100)</f>
        <v>0.79850989328517608</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54129.994490353005</v>
      </c>
      <c r="C37" s="39">
        <f>IF(ISERROR(B37*3.6/1000000/'E Balans VL '!Z15*100),0,B37*3.6/1000000/'E Balans VL '!Z15*100)</f>
        <v>0.42904668429165532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541.53484403657239</v>
      </c>
      <c r="C5" s="17">
        <f>'Eigen informatie GS &amp; warmtenet'!B60</f>
        <v>0</v>
      </c>
      <c r="D5" s="30">
        <f>IF(ISERROR(SUM(LB_lb_gas_kWh,LB_rest_gas_kWh)/1000),0,SUM(LB_lb_gas_kWh,LB_rest_gas_kWh)/1000)*0.902</f>
        <v>293.89048425227975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541.53484403657239</v>
      </c>
      <c r="C8" s="21">
        <f>C5+C6</f>
        <v>0</v>
      </c>
      <c r="D8" s="21">
        <f>MAX((D5+D6),0)</f>
        <v>293.89048425227975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0.20838273215208128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112.84651035589218</v>
      </c>
      <c r="C12" s="23">
        <f ca="1">C8*C10</f>
        <v>0</v>
      </c>
      <c r="D12" s="23">
        <f>D8*D10</f>
        <v>59.365877818960513</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7.6845493382548161E-2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158.55218443560057</v>
      </c>
      <c r="C26" s="247">
        <f>B26*'GWP N2O_CH4'!B5</f>
        <v>3329.5958731476121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27.007361936654757</v>
      </c>
      <c r="C27" s="247">
        <f>B27*'GWP N2O_CH4'!B5</f>
        <v>567.15460066974993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7">
        <f>B28*'GWP N2O_CH4'!B4</f>
        <v>560.00974007704099</v>
      </c>
      <c r="D28" s="50"/>
    </row>
    <row r="29" spans="1:4">
      <c r="A29" s="41" t="s">
        <v>277</v>
      </c>
      <c r="B29" s="247">
        <f>B34*'ha_N2O bodem landbouw'!B4</f>
        <v>7.5212138850822541</v>
      </c>
      <c r="C29" s="247">
        <f>B29*'GWP N2O_CH4'!B4</f>
        <v>2331.5763043754987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1.7163150893196504E-3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1.0619175216888642E-4</v>
      </c>
      <c r="C5" s="463" t="s">
        <v>211</v>
      </c>
      <c r="D5" s="448">
        <f>SUM(D6:D11)</f>
        <v>4.8798779915442357E-4</v>
      </c>
      <c r="E5" s="448">
        <f>SUM(E6:E11)</f>
        <v>6.275672564484033E-4</v>
      </c>
      <c r="F5" s="461" t="s">
        <v>211</v>
      </c>
      <c r="G5" s="448">
        <f>SUM(G6:G11)</f>
        <v>0.19190988228992553</v>
      </c>
      <c r="H5" s="448">
        <f>SUM(H6:H11)</f>
        <v>5.4271214824840902E-2</v>
      </c>
      <c r="I5" s="463" t="s">
        <v>211</v>
      </c>
      <c r="J5" s="463" t="s">
        <v>211</v>
      </c>
      <c r="K5" s="463" t="s">
        <v>211</v>
      </c>
      <c r="L5" s="463" t="s">
        <v>211</v>
      </c>
      <c r="M5" s="448">
        <f>SUM(M6:M11)</f>
        <v>1.2813304667748795E-2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3.3568153331883758E-5</v>
      </c>
      <c r="C6" s="449"/>
      <c r="D6" s="892">
        <f>vkm_2011_GW_PW*SUMIFS(TableVerdeelsleutelVkm[CNG],TableVerdeelsleutelVkm[Voertuigtype],"Lichte voertuigen")*SUMIFS(TableECFTransport[EnergieConsumptieFactor (PJ per km)],TableECFTransport[Index],CONCATENATE($A6,"_CNG_CNG"))</f>
        <v>1.0068519362812656E-4</v>
      </c>
      <c r="E6" s="892">
        <f>vkm_2011_GW_PW*SUMIFS(TableVerdeelsleutelVkm[LPG],TableVerdeelsleutelVkm[Voertuigtype],"Lichte voertuigen")*SUMIFS(TableECFTransport[EnergieConsumptieFactor (PJ per km)],TableECFTransport[Index],CONCATENATE($A6,"_LPG_LPG"))</f>
        <v>1.3755043721133033E-4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3.5564237652805253E-2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1.1451782237413773E-2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2.4156486023601408E-3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1.7764436589055615E-2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5.4142392971584836E-6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1.0380937404572933E-3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7.2623598837002663E-5</v>
      </c>
      <c r="C8" s="449"/>
      <c r="D8" s="451">
        <f>vkm_2011_NGW_PW*SUMIFS(TableVerdeelsleutelVkm[CNG],TableVerdeelsleutelVkm[Voertuigtype],"Lichte voertuigen")*SUMIFS(TableECFTransport[EnergieConsumptieFactor (PJ per km)],TableECFTransport[Index],CONCATENATE($A8,"_CNG_CNG"))</f>
        <v>3.8730260552629703E-4</v>
      </c>
      <c r="E8" s="451">
        <f>vkm_2011_NGW_PW*SUMIFS(TableVerdeelsleutelVkm[LPG],TableVerdeelsleutelVkm[Voertuigtype],"Lichte voertuigen")*SUMIFS(TableECFTransport[EnergieConsumptieFactor (PJ per km)],TableECFTransport[Index],CONCATENATE($A8,"_LPG_LPG"))</f>
        <v>4.9001681923707295E-4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0.11806716092147827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4.2808132381314208E-2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8.1608014234815143E-3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2.0514047126586384E-2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5.8859668157627841E-6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1.1987609014498446E-3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29.497708935801782</v>
      </c>
      <c r="C14" s="21"/>
      <c r="D14" s="21">
        <f t="shared" ref="D14:M14" si="0">((D5)*10^9/3600)+D12</f>
        <v>135.55216643178434</v>
      </c>
      <c r="E14" s="21">
        <f t="shared" si="0"/>
        <v>174.32423790233426</v>
      </c>
      <c r="F14" s="21"/>
      <c r="G14" s="21">
        <f t="shared" si="0"/>
        <v>53308.300636090433</v>
      </c>
      <c r="H14" s="21">
        <f t="shared" si="0"/>
        <v>15075.337451344696</v>
      </c>
      <c r="I14" s="21"/>
      <c r="J14" s="21"/>
      <c r="K14" s="21"/>
      <c r="L14" s="21"/>
      <c r="M14" s="21">
        <f t="shared" si="0"/>
        <v>3559.2512965968872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0.20838273215208128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6.1468131802692376</v>
      </c>
      <c r="C18" s="23"/>
      <c r="D18" s="23">
        <f t="shared" ref="D18:M18" si="1">D14*D16</f>
        <v>27.381537619220438</v>
      </c>
      <c r="E18" s="23">
        <f t="shared" si="1"/>
        <v>39.571602003829881</v>
      </c>
      <c r="F18" s="23"/>
      <c r="G18" s="23">
        <f t="shared" si="1"/>
        <v>14233.316269836147</v>
      </c>
      <c r="H18" s="23">
        <f t="shared" si="1"/>
        <v>3753.7590253848293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1.5463060287878047E-3</v>
      </c>
      <c r="H50" s="321">
        <f t="shared" si="2"/>
        <v>0</v>
      </c>
      <c r="I50" s="321">
        <f t="shared" si="2"/>
        <v>0</v>
      </c>
      <c r="J50" s="321">
        <f t="shared" si="2"/>
        <v>0</v>
      </c>
      <c r="K50" s="321">
        <f t="shared" si="2"/>
        <v>0</v>
      </c>
      <c r="L50" s="321">
        <f t="shared" si="2"/>
        <v>0</v>
      </c>
      <c r="M50" s="321">
        <f t="shared" si="2"/>
        <v>8.7823356149069318E-5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1.5463060287878047E-3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8.7823356149069318E-5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429.52945244105689</v>
      </c>
      <c r="H54" s="21">
        <f t="shared" si="3"/>
        <v>0</v>
      </c>
      <c r="I54" s="21">
        <f t="shared" si="3"/>
        <v>0</v>
      </c>
      <c r="J54" s="21">
        <f t="shared" si="3"/>
        <v>0</v>
      </c>
      <c r="K54" s="21">
        <f t="shared" si="3"/>
        <v>0</v>
      </c>
      <c r="L54" s="21">
        <f t="shared" si="3"/>
        <v>0</v>
      </c>
      <c r="M54" s="21">
        <f t="shared" si="3"/>
        <v>24.395376708074814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0.20838273215208128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114.6843638017622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6937.6665502734249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6937.6665502734249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2019-08-12T08:34:16Z</dcterms:modified>
</cp:coreProperties>
</file>