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K78" i="14"/>
  <c r="K8" i="61"/>
  <c r="K10" s="1"/>
  <c r="L90" i="14"/>
  <c r="L18" i="61"/>
  <c r="N20"/>
  <c r="B10" i="18"/>
  <c r="O22" i="14"/>
  <c r="H20" i="61"/>
  <c r="P25" i="48"/>
  <c r="I77" i="14"/>
  <c r="I9" i="61" s="1"/>
  <c r="O9" i="18"/>
  <c r="O10" i="61"/>
  <c r="G20"/>
  <c r="K20"/>
  <c r="Q11" i="48"/>
  <c r="O25"/>
  <c r="B98" i="18"/>
  <c r="D102" s="1"/>
  <c r="L78" i="14"/>
  <c r="L8" i="61"/>
  <c r="L10" s="1"/>
  <c r="E90" i="14"/>
  <c r="E18" i="61"/>
  <c r="E20" s="1"/>
  <c r="N77" i="14"/>
  <c r="M77"/>
  <c r="M9" i="61" s="1"/>
  <c r="H9" i="18"/>
  <c r="L20" i="61"/>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H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O90" i="14"/>
  <c r="O18" i="61"/>
  <c r="O20" s="1"/>
  <c r="H78" i="14"/>
  <c r="H9" i="61"/>
  <c r="H10" s="1"/>
  <c r="D10"/>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28"/>
  <c r="H26"/>
  <c r="H22"/>
  <c r="H30"/>
  <c r="H24"/>
  <c r="H23"/>
  <c r="G23"/>
  <c r="G30"/>
  <c r="G32"/>
  <c r="G22"/>
  <c r="G25"/>
  <c r="G24"/>
  <c r="G26"/>
  <c r="G29"/>
  <c r="F30"/>
  <c r="F32"/>
  <c r="F24"/>
  <c r="F31"/>
  <c r="F27"/>
  <c r="F28"/>
  <c r="F29"/>
  <c r="B10"/>
  <c r="C19" i="14"/>
  <c r="E31" i="48"/>
  <c r="E29"/>
  <c r="E24"/>
  <c r="E32"/>
  <c r="E30"/>
  <c r="E28"/>
  <c r="M29"/>
  <c r="M24"/>
  <c r="M30"/>
  <c r="M25"/>
  <c r="M22"/>
  <c r="M26"/>
  <c r="M32"/>
  <c r="M23"/>
  <c r="J29"/>
  <c r="J30"/>
  <c r="J32"/>
  <c r="J24"/>
  <c r="J28"/>
  <c r="J27"/>
  <c r="J31"/>
  <c r="Q11" i="14"/>
  <c r="P4" i="48"/>
  <c r="P11" i="14"/>
  <c r="O4" i="48"/>
  <c r="I22"/>
  <c r="I32"/>
  <c r="I26"/>
  <c r="I29"/>
  <c r="I25"/>
  <c r="I31"/>
  <c r="I24"/>
  <c r="I28"/>
  <c r="I30"/>
  <c r="I27"/>
  <c r="C4"/>
  <c r="D11" i="14"/>
  <c r="C11"/>
  <c r="B4" i="48"/>
  <c r="N30"/>
  <c r="N24"/>
  <c r="N32"/>
  <c r="N31"/>
  <c r="N29"/>
  <c r="N28"/>
  <c r="N27"/>
  <c r="K5"/>
  <c r="L10" i="14"/>
  <c r="L16" s="1"/>
  <c r="L27" s="1"/>
  <c r="D30" i="48"/>
  <c r="D28"/>
  <c r="D24"/>
  <c r="D29"/>
  <c r="D31"/>
  <c r="D32"/>
  <c r="L29"/>
  <c r="L32"/>
  <c r="L31"/>
  <c r="L24"/>
  <c r="L30"/>
  <c r="L27"/>
  <c r="L28"/>
  <c r="L22"/>
  <c r="Q10" i="14"/>
  <c r="P5" i="48"/>
  <c r="P23" s="1"/>
  <c r="K32"/>
  <c r="K24"/>
  <c r="K22"/>
  <c r="K29"/>
  <c r="K30"/>
  <c r="K31"/>
  <c r="K26"/>
  <c r="K28"/>
  <c r="K27"/>
  <c r="K25"/>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C22"/>
  <c r="Q13"/>
  <c r="P8" i="48"/>
  <c r="P26" s="1"/>
  <c r="K23"/>
  <c r="K15"/>
  <c r="O22"/>
  <c r="E20" i="14"/>
  <c r="E22" s="1"/>
  <c r="D9" i="48"/>
  <c r="D27" s="1"/>
  <c r="P10" i="14"/>
  <c r="O5" i="48"/>
  <c r="O23" s="1"/>
  <c r="B9"/>
  <c r="C20" i="14"/>
  <c r="J7" i="48"/>
  <c r="J25" s="1"/>
  <c r="K24" i="14"/>
  <c r="K26" s="1"/>
  <c r="K33" i="48"/>
  <c r="Q16" i="14"/>
  <c r="Q27" s="1"/>
  <c r="L46"/>
  <c r="L61" s="1"/>
  <c r="L63" s="1"/>
  <c r="P22" i="48"/>
  <c r="P33" s="1"/>
  <c r="P15"/>
  <c r="E9"/>
  <c r="E27" s="1"/>
  <c r="F20" i="14"/>
  <c r="F22" s="1"/>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J4"/>
  <c r="K11" i="14"/>
  <c r="N4" i="48"/>
  <c r="N22" s="1"/>
  <c r="O11" i="14"/>
  <c r="I23" i="48"/>
  <c r="I33" s="1"/>
  <c r="I15"/>
  <c r="M10"/>
  <c r="M28" s="1"/>
  <c r="N19" i="14"/>
  <c r="N22" s="1"/>
  <c r="N27" s="1"/>
  <c r="M14" i="22"/>
  <c r="P16" i="14"/>
  <c r="P27" s="1"/>
  <c r="H14" i="22"/>
  <c r="H9" i="48" s="1"/>
  <c r="H19" i="14"/>
  <c r="G10" i="48"/>
  <c r="F24" i="14"/>
  <c r="F26" s="1"/>
  <c r="E7" i="48"/>
  <c r="E25"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5" i="48"/>
  <c r="J23" s="1"/>
  <c r="K10" i="14"/>
  <c r="F10"/>
  <c r="E5" i="48"/>
  <c r="E23" s="1"/>
  <c r="R19" i="14"/>
  <c r="J22" i="48"/>
  <c r="Q7"/>
  <c r="N52" i="14"/>
  <c r="N61" s="1"/>
  <c r="N63" s="1"/>
  <c r="I20"/>
  <c r="I22" s="1"/>
  <c r="I27" s="1"/>
  <c r="E22" i="48"/>
  <c r="Q4"/>
  <c r="G28"/>
  <c r="Q10"/>
  <c r="O26"/>
  <c r="O33" s="1"/>
  <c r="O15"/>
  <c r="G9"/>
  <c r="H20" i="14"/>
  <c r="H22" s="1"/>
  <c r="H27" s="1"/>
  <c r="J20" i="15"/>
  <c r="K40" i="14" s="1"/>
  <c r="M15" i="48"/>
  <c r="M27"/>
  <c r="M33" s="1"/>
  <c r="Q9"/>
  <c r="H15"/>
  <c r="H27"/>
  <c r="H33" s="1"/>
  <c r="R24" i="14"/>
  <c r="R26" s="1"/>
  <c r="N18" i="16"/>
  <c r="E20" i="15"/>
  <c r="F40" i="14" s="1"/>
  <c r="F18" i="16"/>
  <c r="J18"/>
  <c r="E18"/>
  <c r="G18" i="22"/>
  <c r="H50" i="14" s="1"/>
  <c r="H18" i="22"/>
  <c r="I50" i="14" s="1"/>
  <c r="I52" s="1"/>
  <c r="I61" s="1"/>
  <c r="F13" l="1"/>
  <c r="F16" s="1"/>
  <c r="F27" s="1"/>
  <c r="F63" s="1"/>
  <c r="E8" i="48"/>
  <c r="G27"/>
  <c r="G33" s="1"/>
  <c r="G15"/>
  <c r="I63" i="14"/>
  <c r="R20"/>
  <c r="R22" s="1"/>
  <c r="K46"/>
  <c r="K61" s="1"/>
  <c r="J8" i="48"/>
  <c r="K13" i="14"/>
  <c r="K16" s="1"/>
  <c r="K27" s="1"/>
  <c r="K63" s="1"/>
  <c r="H63"/>
  <c r="N8" i="48"/>
  <c r="N26" s="1"/>
  <c r="O13" i="14"/>
  <c r="F8" i="48"/>
  <c r="G13" i="14"/>
  <c r="E22" i="16"/>
  <c r="F43" i="14" s="1"/>
  <c r="F46" s="1"/>
  <c r="F61" s="1"/>
  <c r="F22" i="16"/>
  <c r="G43" i="14" s="1"/>
  <c r="N22" i="16"/>
  <c r="O43" i="14" s="1"/>
  <c r="J22" i="16"/>
  <c r="K43" i="14"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<sst xmlns="http://schemas.openxmlformats.org/spreadsheetml/2006/main" count="2392" uniqueCount="888">
  <si>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</si>
  <si>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</si>
  <si>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</si>
  <si>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</si>
  <si>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</si>
  <si>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</si>
  <si>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</si>
  <si>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</si>
  <si>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</si>
  <si>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</si>
  <si>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</si>
  <si>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</si>
  <si>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</si>
  <si>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</si>
  <si>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</si>
  <si>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</si>
  <si>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</si>
  <si>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</si>
  <si>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</si>
  <si>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</si>
  <si>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</si>
  <si>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</si>
  <si>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</si>
  <si>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</si>
  <si>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</si>
  <si>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</si>
  <si>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</si>
  <si>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</si>
  <si>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</si>
  <si>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</si>
  <si>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</si>
  <si>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</si>
  <si>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</si>
  <si>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</si>
  <si>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</si>
  <si>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</si>
  <si>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</si>
  <si>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</si>
  <si>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</si>
  <si>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</si>
  <si>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</si>
  <si>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</si>
  <si>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</si>
  <si>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</si>
  <si>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</si>
  <si>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</si>
  <si>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</si>
  <si>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</si>
  <si>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</si>
  <si>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</si>
  <si>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</si>
  <si>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</si>
  <si>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</si>
  <si>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</si>
  <si>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</si>
  <si>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</si>
  <si>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</si>
  <si>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</si>
  <si>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</si>
  <si>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</si>
  <si>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</si>
  <si>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</si>
  <si>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</si>
  <si>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</si>
  <si>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</si>
  <si>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</si>
  <si>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</si>
  <si>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</si>
  <si>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</si>
  <si>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</si>
  <si>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</si>
  <si>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</si>
  <si>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</si>
  <si>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</si>
  <si>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</si>
  <si>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</si>
  <si>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</si>
  <si>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</si>
  <si>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</si>
  <si>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</si>
  <si>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</si>
  <si>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</si>
  <si>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</si>
  <si>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</si>
  <si>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</si>
  <si>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</si>
  <si>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</si>
  <si>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</si>
  <si>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</si>
  <si>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</si>
  <si>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</si>
  <si>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</si>
  <si>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</si>
  <si>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</si>
  <si>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</si>
  <si>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</si>
  <si>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</si>
  <si>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</si>
  <si>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</si>
  <si>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</si>
  <si>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</si>
  <si>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</si>
  <si>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</si>
  <si>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</si>
  <si>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</si>
  <si>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</si>
  <si>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</si>
  <si>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</si>
  <si>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</si>
  <si>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</si>
  <si>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</si>
  <si>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</si>
  <si>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</si>
  <si>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</si>
  <si>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</si>
  <si>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</si>
  <si>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</si>
  <si>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</si>
  <si>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</si>
  <si>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</si>
  <si>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</si>
  <si>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</si>
  <si>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</si>
  <si>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</si>
  <si>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</si>
  <si>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</si>
  <si>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</si>
  <si>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</si>
  <si>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</si>
  <si>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</si>
  <si>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</si>
  <si>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</si>
  <si>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</si>
  <si>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</si>
  <si>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</si>
  <si>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</si>
  <si>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</si>
  <si>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</si>
  <si>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</si>
  <si>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</si>
  <si>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</si>
  <si>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</si>
  <si>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</si>
  <si>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</si>
  <si>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</si>
  <si>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</si>
  <si>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</si>
  <si>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</si>
  <si>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</si>
  <si>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</si>
  <si>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</si>
  <si>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</si>
  <si>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</si>
  <si>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</si>
  <si>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</si>
  <si>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</si>
  <si>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</si>
  <si>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</si>
  <si>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</si>
  <si>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</si>
  <si>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</si>
  <si>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</si>
  <si>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</si>
  <si>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</si>
  <si>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</si>
  <si>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</si>
  <si>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</si>
  <si>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</si>
  <si>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</si>
  <si>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</si>
  <si>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</si>
  <si>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</si>
  <si>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</si>
  <si>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</si>
  <si>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</si>
  <si>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</si>
  <si>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</si>
  <si>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</si>
  <si>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</si>
  <si>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</si>
  <si>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</si>
  <si>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</si>
  <si>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</si>
  <si>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</si>
  <si>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</si>
  <si>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</si>
  <si>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</si>
  <si>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</si>
  <si>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</si>
  <si>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</si>
  <si>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</si>
  <si>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</si>
  <si>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</si>
  <si>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</si>
  <si>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</si>
  <si>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</si>
  <si>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</si>
  <si>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</si>
  <si>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</si>
  <si>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</si>
  <si>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</si>
  <si>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</si>
  <si>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</si>
  <si>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</si>
  <si>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</si>
  <si>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</si>
  <si>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</si>
  <si>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</si>
  <si>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</si>
  <si>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</si>
  <si>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</si>
  <si>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</si>
  <si>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</si>
  <si>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</si>
  <si>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</si>
  <si>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</si>
  <si>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</si>
  <si>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</si>
  <si>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</si>
  <si>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</si>
  <si>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</si>
  <si>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</si>
  <si>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</si>
  <si>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</si>
  <si>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</si>
  <si>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</si>
  <si>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</si>
  <si>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</si>
  <si>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</si>
  <si>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</si>
  <si>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</si>
  <si>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</si>
  <si>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</si>
  <si>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</si>
  <si>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</si>
  <si>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</si>
  <si>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</si>
  <si>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</si>
  <si>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</si>
  <si>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</si>
  <si>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</si>
  <si>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</si>
  <si>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</si>
  <si>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</si>
  <si>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</si>
  <si>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</si>
  <si>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</si>
  <si>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</si>
  <si>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</si>
  <si>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</si>
  <si>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</si>
  <si>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</si>
  <si>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</si>
  <si>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</si>
  <si>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</si>
  <si>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</si>
  <si>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</si>
  <si>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</si>
  <si>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</si>
  <si>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</si>
  <si>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</si>
  <si>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</si>
  <si>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</si>
  <si>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</si>
  <si>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</si>
  <si>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</si>
  <si>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</si>
  <si>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</si>
  <si>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</si>
  <si>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</si>
  <si>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</si>
  <si>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</si>
  <si>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</si>
  <si>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</si>
  <si>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</si>
  <si>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</si>
  <si>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</si>
  <si>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</si>
  <si>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</si>
  <si>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</si>
  <si>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</si>
  <si>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</si>
  <si>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</si>
  <si>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</si>
  <si>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</si>
  <si>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</si>
  <si>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</si>
  <si>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</si>
  <si>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</si>
  <si>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</si>
  <si>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</si>
  <si>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</si>
  <si>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</si>
  <si>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</si>
  <si>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</si>
  <si>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</si>
  <si>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</si>
  <si>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</si>
  <si>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</si>
  <si>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</si>
  <si>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</si>
  <si>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</si>
  <si>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</si>
  <si>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</si>
  <si>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</si>
  <si>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</si>
  <si>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</si>
  <si>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</si>
  <si>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</si>
  <si>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</si>
  <si>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</si>
  <si>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</si>
  <si>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</si>
  <si>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</si>
  <si>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</si>
  <si>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</si>
  <si>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</si>
  <si>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</si>
  <si>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</si>
  <si>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</si>
  <si>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</si>
  <si>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</si>
  <si>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</si>
  <si>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</si>
  <si>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</si>
  <si>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</si>
  <si>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</si>
  <si>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</si>
  <si>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</si>
  <si>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</si>
  <si>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</si>
  <si>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</si>
  <si>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</si>
  <si>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</si>
  <si>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</si>
  <si>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</si>
  <si>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</si>
  <si>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</si>
  <si>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</si>
  <si>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</si>
  <si>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</si>
  <si>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</si>
  <si>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</si>
  <si>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</si>
  <si>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</si>
  <si>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</si>
  <si>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</si>
  <si>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</si>
  <si>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</si>
  <si>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</si>
  <si>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</si>
  <si>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</si>
  <si>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</si>
  <si>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</si>
  <si>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</si>
  <si>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</si>
  <si>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</si>
  <si>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</si>
  <si>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</si>
  <si>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</si>
  <si>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</si>
  <si>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</si>
  <si>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</si>
  <si>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</si>
  <si>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</si>
  <si>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</si>
  <si>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</si>
  <si>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</si>
  <si>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</si>
  <si>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</si>
  <si>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</si>
  <si>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</si>
  <si>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</si>
  <si>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</si>
  <si>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</si>
  <si>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</si>
  <si>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</si>
  <si>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</si>
  <si>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</si>
  <si>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</si>
  <si>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</si>
  <si>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</si>
  <si>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</si>
  <si>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</si>
  <si>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</si>
  <si>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</si>
  <si>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</si>
  <si>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</si>
  <si>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</si>
  <si>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</si>
  <si>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</si>
  <si>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</si>
  <si>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</si>
  <si>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</si>
  <si>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</si>
  <si>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</si>
  <si>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</si>
  <si>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</si>
  <si>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</si>
  <si>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</si>
  <si>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</si>
  <si>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</si>
  <si>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</si>
  <si>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</si>
  <si>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</si>
  <si>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</si>
  <si>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</si>
  <si>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</si>
  <si>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</si>
  <si>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</si>
  <si>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</si>
  <si>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</si>
  <si>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</si>
  <si>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</si>
  <si>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</si>
  <si>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</si>
  <si>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</si>
  <si>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</si>
  <si>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</si>
  <si>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</si>
  <si>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</si>
  <si>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</si>
  <si>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</si>
  <si>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</si>
  <si>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</si>
  <si>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</si>
  <si>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</si>
  <si>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</si>
  <si>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</si>
  <si>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</si>
  <si>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</si>
  <si>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</si>
  <si>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</si>
  <si>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</si>
  <si>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</si>
  <si>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</si>
  <si>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</si>
  <si>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</si>
  <si>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</si>
  <si>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</si>
  <si>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</si>
  <si>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</si>
  <si>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</si>
  <si>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</si>
  <si>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</si>
  <si>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</si>
  <si>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</si>
  <si>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</si>
  <si>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</si>
  <si>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</si>
  <si>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</si>
  <si>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</si>
  <si>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</si>
  <si>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</si>
  <si>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</si>
  <si>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</si>
  <si>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</si>
  <si>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</si>
  <si>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</si>
  <si>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</si>
  <si>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</si>
  <si>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</si>
  <si>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</si>
  <si>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</si>
  <si>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</si>
  <si>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</si>
  <si>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</si>
  <si>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</si>
  <si>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</si>
  <si>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</si>
  <si>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</si>
  <si>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</si>
  <si>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</si>
  <si>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</si>
  <si>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</si>
  <si>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</si>
  <si>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</si>
  <si>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</si>
  <si>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</si>
  <si>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</si>
  <si>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</si>
  <si>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</si>
  <si>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</si>
  <si>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</si>
  <si>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</si>
  <si>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</si>
  <si>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</si>
  <si>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</si>
  <si>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</si>
  <si>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</si>
  <si>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</si>
  <si>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</si>
  <si>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</si>
  <si>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</si>
  <si>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</si>
  <si>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</si>
  <si>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</si>
  <si>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</si>
  <si>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</si>
  <si>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</si>
  <si>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</si>
  <si>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</si>
  <si>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</si>
  <si>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</si>
  <si>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</si>
  <si>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</si>
  <si>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</si>
  <si>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</si>
  <si>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</si>
  <si>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</si>
  <si>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</si>
  <si>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</si>
  <si>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</si>
  <si>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</si>
  <si>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</si>
  <si>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</si>
  <si>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</si>
  <si>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</si>
  <si>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</si>
  <si>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</si>
  <si>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</si>
  <si>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</si>
  <si>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</si>
  <si>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</si>
  <si>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</si>
  <si>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</si>
  <si>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</si>
  <si>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</si>
  <si>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</si>
  <si>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</si>
  <si>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</si>
  <si>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</si>
  <si>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</si>
  <si>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</si>
  <si>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</si>
  <si>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</si>
  <si>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</si>
  <si>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</si>
  <si>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</si>
  <si>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</si>
  <si>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</si>
  <si>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</si>
  <si>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</si>
  <si>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</si>
  <si>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</si>
  <si>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</si>
  <si>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</si>
  <si>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</si>
  <si>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</si>
  <si>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</si>
  <si>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</si>
  <si>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</si>
  <si>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</si>
  <si>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</si>
  <si>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</si>
  <si>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</si>
  <si>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</si>
  <si>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</si>
  <si>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</si>
  <si>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</si>
  <si>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</si>
  <si>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</si>
  <si>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</si>
  <si>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</si>
  <si>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</si>
  <si>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</si>
  <si>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</si>
  <si>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</si>
  <si>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</si>
  <si>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</si>
  <si>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</si>
  <si>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</si>
  <si>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</si>
  <si>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</si>
  <si>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</si>
  <si>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</si>
  <si>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</si>
  <si>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</si>
  <si>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</si>
  <si>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</si>
  <si>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</si>
  <si>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</si>
  <si>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</si>
  <si>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</si>
  <si>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</si>
  <si>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</si>
  <si>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</si>
  <si>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</si>
  <si>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</si>
  <si>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</si>
  <si>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</si>
  <si>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</si>
  <si>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</si>
  <si>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</si>
  <si>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</si>
  <si>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</si>
  <si>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</si>
  <si>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</si>
  <si>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</si>
  <si>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</si>
  <si>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</si>
  <si>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</si>
  <si>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</si>
  <si>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</si>
  <si>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</si>
  <si>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</si>
  <si>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</si>
  <si>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</si>
  <si>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</si>
  <si>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</si>
  <si>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</si>
  <si>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</si>
  <si>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</si>
  <si>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</si>
  <si>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</si>
  <si>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</si>
  <si>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</si>
  <si>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</si>
  <si>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</si>
  <si>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</si>
  <si>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</si>
  <si>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</si>
  <si>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</si>
  <si>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</si>
  <si>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</si>
  <si>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</si>
  <si>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</si>
  <si>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</si>
  <si>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</si>
  <si>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</si>
  <si>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</si>
  <si>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</si>
  <si>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</si>
  <si>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</si>
  <si>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</si>
  <si>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</si>
  <si>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</si>
  <si>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</si>
  <si>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</si>
  <si>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</si>
  <si>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</si>
  <si>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</si>
  <si>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</si>
  <si>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</si>
  <si>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</si>
  <si>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</si>
  <si>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</si>
  <si>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</si>
  <si>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</si>
  <si>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</si>
  <si>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</si>
  <si>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</si>
  <si>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</si>
  <si>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</si>
  <si>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</si>
  <si>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</si>
  <si>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</si>
  <si>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</si>
  <si>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</si>
  <si>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</si>
  <si>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</si>
  <si>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</si>
  <si>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</si>
  <si>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</si>
  <si>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</si>
  <si>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</si>
  <si>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</si>
  <si>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</si>
  <si>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</si>
  <si>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</si>
  <si>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</si>
  <si>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</si>
  <si>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</si>
  <si>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</si>
  <si>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</si>
  <si>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</si>
  <si>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</si>
  <si>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</si>
  <si>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</si>
  <si>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</si>
  <si>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</si>
  <si>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</si>
  <si>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</si>
  <si>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</si>
  <si>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</si>
  <si>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</si>
  <si>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</si>
  <si>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</si>
  <si>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</si>
  <si>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</si>
  <si>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</si>
  <si>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</si>
  <si>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</si>
  <si>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</si>
  <si>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</si>
  <si>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</si>
  <si>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</si>
  <si>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</si>
  <si>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</si>
  <si>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</si>
  <si>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</si>
  <si>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</si>
  <si>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</si>
  <si>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</si>
  <si>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</si>
  <si>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</si>
  <si>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</si>
  <si>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</si>
  <si>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</si>
  <si>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</si>
  <si>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</si>
  <si>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</si>
  <si>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</si>
  <si>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</si>
  <si>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</si>
  <si>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</si>
  <si>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</si>
  <si>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</si>
  <si>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</si>
  <si>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</si>
  <si>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</si>
  <si>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</si>
  <si>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</si>
  <si>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</si>
  <si>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</si>
  <si>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</si>
  <si>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</si>
  <si>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</si>
  <si>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</si>
  <si>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</si>
  <si>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</si>
  <si>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</si>
  <si>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</si>
  <si>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</si>
  <si>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</si>
  <si>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</si>
  <si>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</si>
  <si>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</si>
  <si>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</si>
  <si>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</si>
  <si>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</si>
  <si>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</si>
  <si>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</si>
  <si>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</si>
  <si>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</si>
  <si>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</si>
  <si>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</si>
  <si>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</si>
  <si>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</si>
  <si>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</si>
  <si>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</si>
  <si>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</si>
  <si>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</si>
  <si>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</si>
  <si>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</si>
  <si>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</si>
  <si>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</si>
  <si>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</si>
  <si>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</si>
  <si>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</si>
  <si>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</si>
  <si>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</si>
  <si>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</si>
  <si>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</si>
  <si>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</si>
  <si>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</si>
  <si>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</si>
  <si>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</si>
  <si>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</si>
  <si>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</si>
  <si>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</si>
  <si>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</si>
  <si>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</si>
  <si>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</si>
  <si>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</si>
  <si>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</si>
  <si>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</si>
  <si>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</si>
  <si>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</si>
  <si>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</si>
  <si>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</si>
  <si>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</si>
  <si>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</si>
  <si>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</si>
  <si>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</si>
  <si>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</si>
  <si>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</si>
  <si>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</si>
  <si>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</si>
  <si>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</si>
  <si>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</si>
  <si>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</si>
  <si>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</si>
  <si>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</si>
  <si>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</si>
  <si>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</si>
  <si>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</si>
  <si>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</si>
  <si>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</si>
  <si>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</si>
  <si>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</si>
  <si>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</si>
  <si>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</si>
  <si>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</si>
  <si>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</si>
  <si>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</si>
  <si>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</si>
  <si>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</si>
  <si>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</si>
  <si>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</si>
  <si>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</si>
  <si>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</si>
  <si>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</si>
  <si>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</si>
  <si>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</si>
  <si>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</si>
  <si>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</si>
  <si>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</si>
  <si>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</si>
  <si>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</si>
  <si>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</si>
  <si>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</si>
  <si>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</si>
  <si>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</si>
  <si>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</si>
  <si>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</si>
  <si>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</si>
  <si>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</si>
  <si>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</si>
  <si>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</si>
  <si>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</si>
  <si>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</si>
  <si>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</si>
  <si>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</si>
  <si>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</si>
  <si>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</si>
  <si>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</si>
  <si>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</si>
  <si>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</si>
  <si>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</si>
  <si>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</si>
  <si>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</si>
  <si>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</si>
  <si>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</si>
  <si>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</si>
  <si>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</si>
  <si>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</si>
  <si>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</si>
  <si>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</si>
  <si>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</si>
  <si>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</si>
  <si>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</si>
  <si>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</si>
  <si>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</si>
  <si>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</si>
  <si>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</si>
  <si>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</si>
  <si>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</si>
  <si>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</si>
  <si>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</si>
  <si>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</si>
  <si>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</si>
  <si>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</si>
  <si>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</si>
  <si>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</si>
  <si>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</si>
  <si>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</si>
  <si>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</si>
  <si>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</si>
  <si>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</si>
  <si>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</si>
  <si>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</si>
  <si>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</si>
  <si>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41063</t>
  </si>
  <si>
    <t>SINT-LIEVENS-HOUTEM</t>
  </si>
  <si>
    <t>Eandis (januari 2018); Infrax (juni 2018)</t>
  </si>
  <si>
    <t>MOW (september 2017)</t>
  </si>
  <si>
    <t>referentietaak LNE (2017); Jaarverslag De Lijn (2016)</t>
  </si>
  <si>
    <t>VEA (april 2018)</t>
  </si>
  <si>
    <t>VEA (januari 2017)</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</si>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</sst>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88868.907619099162</c:v>
                </c:pt>
                <c:pt idx="1">
                  <c:v>20339.084695507183</c:v>
                </c:pt>
                <c:pt idx="2">
                  <c:v>626.07899999999995</c:v>
                </c:pt>
                <c:pt idx="3">
                  <c:v>6561.0284543971293</c:v>
                </c:pt>
                <c:pt idx="4">
                  <c:v>108947.19734039211</c:v>
                </c:pt>
                <c:pt idx="5">
                  <c:v>108487.43542346824</c:v>
                </c:pt>
                <c:pt idx="6">
                  <c:v>758.26079414684489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11584"/>
        <c:axId val="175413120"/>
      </c:barChart>
      <c:catAx>
        <c:axId val="175411584"/>
        <c:scaling>
          <c:orientation val="minMax"/>
        </c:scaling>
        <c:axPos val="b"/>
        <c:numFmt formatCode="General" sourceLinked="0"/>
        <c:tickLblPos val="nextTo"/>
        <c:crossAx val="175413120"/>
        <c:crosses val="autoZero"/>
        <c:auto val="1"/>
        <c:lblAlgn val="ctr"/>
        <c:lblOffset val="100"/>
      </c:catAx>
      <c:valAx>
        <c:axId val="175413120"/>
        <c:scaling>
          <c:orientation val="minMax"/>
        </c:scaling>
        <c:axPos val="l"/>
        <c:majorGridlines>
          <c:spPr>
            <a:ln>
              <a:noFill/>
            </a:ln>
          </c:spPr>
        </c:majorGridlines>
        <c:numFmt formatCode="#,##0" sourceLinked="1"/>
        <c:tickLblPos val="nextTo"/>
        <c:crossAx val="1754115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88868.907619099162</c:v>
                </c:pt>
                <c:pt idx="1">
                  <c:v>20339.084695507183</c:v>
                </c:pt>
                <c:pt idx="2">
                  <c:v>626.07899999999995</c:v>
                </c:pt>
                <c:pt idx="3">
                  <c:v>6561.0284543971293</c:v>
                </c:pt>
                <c:pt idx="4">
                  <c:v>108947.19734039211</c:v>
                </c:pt>
                <c:pt idx="5">
                  <c:v>108487.43542346824</c:v>
                </c:pt>
                <c:pt idx="6">
                  <c:v>758.26079414684489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17822.62090086954</c:v>
                </c:pt>
                <c:pt idx="2">
                  <c:v>4000.5628326186743</c:v>
                </c:pt>
                <c:pt idx="3">
                  <c:v>116.7664230857927</c:v>
                </c:pt>
                <c:pt idx="4">
                  <c:v>1664.0165710109418</c:v>
                </c:pt>
                <c:pt idx="5">
                  <c:v>20963.956213609894</c:v>
                </c:pt>
                <c:pt idx="6">
                  <c:v>27158.08269634474</c:v>
                </c:pt>
                <c:pt idx="7">
                  <c:v>191.57501680521636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35072"/>
        <c:axId val="175645056"/>
      </c:barChart>
      <c:catAx>
        <c:axId val="175635072"/>
        <c:scaling>
          <c:orientation val="minMax"/>
        </c:scaling>
        <c:axPos val="b"/>
        <c:numFmt formatCode="General" sourceLinked="0"/>
        <c:tickLblPos val="nextTo"/>
        <c:crossAx val="175645056"/>
        <c:crosses val="autoZero"/>
        <c:auto val="1"/>
        <c:lblAlgn val="ctr"/>
        <c:lblOffset val="100"/>
      </c:catAx>
      <c:valAx>
        <c:axId val="175645056"/>
        <c:scaling>
          <c:orientation val="minMax"/>
        </c:scaling>
        <c:axPos val="l"/>
        <c:majorGridlines>
          <c:spPr>
            <a:ln>
              <a:noFill/>
            </a:ln>
          </c:spPr>
        </c:majorGridlines>
        <c:numFmt formatCode="#,##0" sourceLinked="1"/>
        <c:tickLblPos val="nextTo"/>
        <c:crossAx val="1756350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17822.62090086954</c:v>
                </c:pt>
                <c:pt idx="2">
                  <c:v>4000.5628326186743</c:v>
                </c:pt>
                <c:pt idx="3">
                  <c:v>116.7664230857927</c:v>
                </c:pt>
                <c:pt idx="4">
                  <c:v>1664.0165710109418</c:v>
                </c:pt>
                <c:pt idx="5">
                  <c:v>20963.956213609894</c:v>
                </c:pt>
                <c:pt idx="6">
                  <c:v>27158.08269634474</c:v>
                </c:pt>
                <c:pt idx="7">
                  <c:v>191.57501680521636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41063</v>
      </c>
      <c r="B6" s="415"/>
      <c r="C6" s="416"/>
    </row>
    <row r="7" spans="1:7" s="413" customFormat="1" ht="15.75" customHeight="1">
      <c r="A7" s="417" t="str">
        <f>txtMunicipality</f>
        <v>SINT-LIEVENS-HOUTEM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0.18650429592079068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0.18650429592079068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4216</v>
      </c>
      <c r="C9" s="342">
        <v>4327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1442.93</v>
      </c>
    </row>
    <row r="15" spans="1:6">
      <c r="A15" s="348" t="s">
        <v>184</v>
      </c>
      <c r="B15" s="334">
        <v>6</v>
      </c>
    </row>
    <row r="16" spans="1:6">
      <c r="A16" s="348" t="s">
        <v>6</v>
      </c>
      <c r="B16" s="334">
        <v>256</v>
      </c>
    </row>
    <row r="17" spans="1:6">
      <c r="A17" s="348" t="s">
        <v>7</v>
      </c>
      <c r="B17" s="334">
        <v>381</v>
      </c>
    </row>
    <row r="18" spans="1:6">
      <c r="A18" s="348" t="s">
        <v>8</v>
      </c>
      <c r="B18" s="334">
        <v>489</v>
      </c>
    </row>
    <row r="19" spans="1:6">
      <c r="A19" s="348" t="s">
        <v>9</v>
      </c>
      <c r="B19" s="334">
        <v>484</v>
      </c>
    </row>
    <row r="20" spans="1:6">
      <c r="A20" s="348" t="s">
        <v>10</v>
      </c>
      <c r="B20" s="334">
        <v>489</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80</v>
      </c>
    </row>
    <row r="27" spans="1:6">
      <c r="A27" s="348" t="s">
        <v>17</v>
      </c>
      <c r="B27" s="334">
        <v>493</v>
      </c>
    </row>
    <row r="28" spans="1:6" s="356" customFormat="1">
      <c r="A28" s="355" t="s">
        <v>18</v>
      </c>
      <c r="B28" s="355">
        <v>18973</v>
      </c>
    </row>
    <row r="29" spans="1:6">
      <c r="A29" s="355" t="s">
        <v>744</v>
      </c>
      <c r="B29" s="355">
        <v>110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10289.675011662001</v>
      </c>
    </row>
    <row r="39" spans="1:6">
      <c r="A39" s="348" t="s">
        <v>30</v>
      </c>
      <c r="B39" s="348" t="s">
        <v>31</v>
      </c>
      <c r="C39" s="334">
        <v>2085</v>
      </c>
      <c r="D39" s="334">
        <v>35409224.871464297</v>
      </c>
      <c r="E39" s="334">
        <v>4059</v>
      </c>
      <c r="F39" s="334">
        <v>18347681.9340983</v>
      </c>
    </row>
    <row r="40" spans="1:6">
      <c r="A40" s="348" t="s">
        <v>30</v>
      </c>
      <c r="B40" s="348" t="s">
        <v>29</v>
      </c>
      <c r="C40" s="334">
        <v>0</v>
      </c>
      <c r="D40" s="334">
        <v>0</v>
      </c>
      <c r="E40" s="334">
        <v>0</v>
      </c>
      <c r="F40" s="334">
        <v>0</v>
      </c>
    </row>
    <row r="41" spans="1:6">
      <c r="A41" s="348" t="s">
        <v>32</v>
      </c>
      <c r="B41" s="348" t="s">
        <v>33</v>
      </c>
      <c r="C41" s="334">
        <v>15</v>
      </c>
      <c r="D41" s="334">
        <v>369409.57579513802</v>
      </c>
      <c r="E41" s="334">
        <v>93</v>
      </c>
      <c r="F41" s="334">
        <v>655772.22617914795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46799.697365174201</v>
      </c>
    </row>
    <row r="45" spans="1:6">
      <c r="A45" s="348" t="s">
        <v>32</v>
      </c>
      <c r="B45" s="348" t="s">
        <v>37</v>
      </c>
      <c r="C45" s="334">
        <v>0</v>
      </c>
      <c r="D45" s="334">
        <v>0</v>
      </c>
      <c r="E45" s="334">
        <v>4</v>
      </c>
      <c r="F45" s="334">
        <v>36823.753690267004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81704231.038441703</v>
      </c>
      <c r="E48" s="334">
        <v>35</v>
      </c>
      <c r="F48" s="334">
        <v>22031688.357656401</v>
      </c>
    </row>
    <row r="49" spans="1:6">
      <c r="A49" s="348" t="s">
        <v>32</v>
      </c>
      <c r="B49" s="348" t="s">
        <v>40</v>
      </c>
      <c r="C49" s="334">
        <v>0</v>
      </c>
      <c r="D49" s="334">
        <v>0</v>
      </c>
      <c r="E49" s="334">
        <v>0</v>
      </c>
      <c r="F49" s="334">
        <v>0</v>
      </c>
    </row>
    <row r="50" spans="1:6">
      <c r="A50" s="348" t="s">
        <v>32</v>
      </c>
      <c r="B50" s="348" t="s">
        <v>41</v>
      </c>
      <c r="C50" s="334">
        <v>0</v>
      </c>
      <c r="D50" s="334">
        <v>0</v>
      </c>
      <c r="E50" s="334">
        <v>19</v>
      </c>
      <c r="F50" s="334">
        <v>512708.58217498101</v>
      </c>
    </row>
    <row r="51" spans="1:6">
      <c r="A51" s="348" t="s">
        <v>42</v>
      </c>
      <c r="B51" s="348" t="s">
        <v>43</v>
      </c>
      <c r="C51" s="334">
        <v>0</v>
      </c>
      <c r="D51" s="334">
        <v>0</v>
      </c>
      <c r="E51" s="334">
        <v>61</v>
      </c>
      <c r="F51" s="334">
        <v>1056361.6799512501</v>
      </c>
    </row>
    <row r="52" spans="1:6">
      <c r="A52" s="348" t="s">
        <v>42</v>
      </c>
      <c r="B52" s="348" t="s">
        <v>29</v>
      </c>
      <c r="C52" s="334">
        <v>3</v>
      </c>
      <c r="D52" s="334">
        <v>62214.237758781499</v>
      </c>
      <c r="E52" s="334">
        <v>8</v>
      </c>
      <c r="F52" s="334">
        <v>161736.86394663501</v>
      </c>
    </row>
    <row r="53" spans="1:6">
      <c r="A53" s="348" t="s">
        <v>44</v>
      </c>
      <c r="B53" s="348" t="s">
        <v>45</v>
      </c>
      <c r="C53" s="334">
        <v>52</v>
      </c>
      <c r="D53" s="334">
        <v>877135.297332749</v>
      </c>
      <c r="E53" s="334">
        <v>157</v>
      </c>
      <c r="F53" s="334">
        <v>579735.220842098</v>
      </c>
    </row>
    <row r="54" spans="1:6">
      <c r="A54" s="348" t="s">
        <v>46</v>
      </c>
      <c r="B54" s="348" t="s">
        <v>47</v>
      </c>
      <c r="C54" s="334">
        <v>0</v>
      </c>
      <c r="D54" s="334">
        <v>0</v>
      </c>
      <c r="E54" s="334">
        <v>5</v>
      </c>
      <c r="F54" s="334">
        <v>626079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1560191.8895803699</v>
      </c>
      <c r="E57" s="334">
        <v>65</v>
      </c>
      <c r="F57" s="334">
        <v>1587802.93037941</v>
      </c>
    </row>
    <row r="58" spans="1:6">
      <c r="A58" s="348" t="s">
        <v>49</v>
      </c>
      <c r="B58" s="348" t="s">
        <v>51</v>
      </c>
      <c r="C58" s="334">
        <v>14</v>
      </c>
      <c r="D58" s="334">
        <v>139671.577382041</v>
      </c>
      <c r="E58" s="334">
        <v>29</v>
      </c>
      <c r="F58" s="334">
        <v>233050.04172947601</v>
      </c>
    </row>
    <row r="59" spans="1:6">
      <c r="A59" s="348" t="s">
        <v>49</v>
      </c>
      <c r="B59" s="348" t="s">
        <v>52</v>
      </c>
      <c r="C59" s="334">
        <v>13</v>
      </c>
      <c r="D59" s="334">
        <v>328162.97345322801</v>
      </c>
      <c r="E59" s="334">
        <v>85</v>
      </c>
      <c r="F59" s="334">
        <v>1907742.0108342699</v>
      </c>
    </row>
    <row r="60" spans="1:6">
      <c r="A60" s="348" t="s">
        <v>49</v>
      </c>
      <c r="B60" s="348" t="s">
        <v>53</v>
      </c>
      <c r="C60" s="334">
        <v>24</v>
      </c>
      <c r="D60" s="334">
        <v>760130.11664696096</v>
      </c>
      <c r="E60" s="334">
        <v>36</v>
      </c>
      <c r="F60" s="334">
        <v>635131.68320308602</v>
      </c>
    </row>
    <row r="61" spans="1:6">
      <c r="A61" s="348" t="s">
        <v>49</v>
      </c>
      <c r="B61" s="348" t="s">
        <v>54</v>
      </c>
      <c r="C61" s="334">
        <v>42</v>
      </c>
      <c r="D61" s="334">
        <v>1093167.7002166801</v>
      </c>
      <c r="E61" s="334">
        <v>119</v>
      </c>
      <c r="F61" s="334">
        <v>1121983.1098424401</v>
      </c>
    </row>
    <row r="62" spans="1:6">
      <c r="A62" s="348" t="s">
        <v>49</v>
      </c>
      <c r="B62" s="348" t="s">
        <v>55</v>
      </c>
      <c r="C62" s="334">
        <v>3</v>
      </c>
      <c r="D62" s="334">
        <v>163901.57703590201</v>
      </c>
      <c r="E62" s="334">
        <v>4</v>
      </c>
      <c r="F62" s="334">
        <v>86257.755020961005</v>
      </c>
    </row>
    <row r="63" spans="1:6">
      <c r="A63" s="348" t="s">
        <v>49</v>
      </c>
      <c r="B63" s="348" t="s">
        <v>29</v>
      </c>
      <c r="C63" s="334">
        <v>83</v>
      </c>
      <c r="D63" s="334">
        <v>2838145.40661499</v>
      </c>
      <c r="E63" s="334">
        <v>108</v>
      </c>
      <c r="F63" s="334">
        <v>1739042.31252089</v>
      </c>
    </row>
    <row r="64" spans="1:6">
      <c r="A64" s="348" t="s">
        <v>56</v>
      </c>
      <c r="B64" s="348" t="s">
        <v>57</v>
      </c>
      <c r="C64" s="334">
        <v>0</v>
      </c>
      <c r="D64" s="334">
        <v>0</v>
      </c>
      <c r="E64" s="334">
        <v>0</v>
      </c>
      <c r="F64" s="334">
        <v>0</v>
      </c>
    </row>
    <row r="65" spans="1:6">
      <c r="A65" s="348" t="s">
        <v>56</v>
      </c>
      <c r="B65" s="348" t="s">
        <v>29</v>
      </c>
      <c r="C65" s="334">
        <v>1</v>
      </c>
      <c r="D65" s="334">
        <v>6471.5304116220004</v>
      </c>
      <c r="E65" s="334">
        <v>5</v>
      </c>
      <c r="F65" s="334">
        <v>128535.02219618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13782.5854758315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10772569</v>
      </c>
      <c r="E73" s="475">
        <v>11378176.174970282</v>
      </c>
    </row>
    <row r="74" spans="1:6">
      <c r="A74" s="348" t="s">
        <v>64</v>
      </c>
      <c r="B74" s="348" t="s">
        <v>657</v>
      </c>
      <c r="C74" s="1295" t="s">
        <v>659</v>
      </c>
      <c r="D74" s="475">
        <v>703708.5</v>
      </c>
      <c r="E74" s="475">
        <v>731054.98611974146</v>
      </c>
    </row>
    <row r="75" spans="1:6">
      <c r="A75" s="348" t="s">
        <v>65</v>
      </c>
      <c r="B75" s="348" t="s">
        <v>656</v>
      </c>
      <c r="C75" s="1295" t="s">
        <v>660</v>
      </c>
      <c r="D75" s="475">
        <v>25814986</v>
      </c>
      <c r="E75" s="475">
        <v>26706909.220792782</v>
      </c>
    </row>
    <row r="76" spans="1:6">
      <c r="A76" s="348" t="s">
        <v>65</v>
      </c>
      <c r="B76" s="348" t="s">
        <v>657</v>
      </c>
      <c r="C76" s="1295" t="s">
        <v>661</v>
      </c>
      <c r="D76" s="475">
        <v>1038756.5</v>
      </c>
      <c r="E76" s="475">
        <v>1056445.8714268995</v>
      </c>
    </row>
    <row r="77" spans="1:6">
      <c r="A77" s="348" t="s">
        <v>66</v>
      </c>
      <c r="B77" s="348" t="s">
        <v>656</v>
      </c>
      <c r="C77" s="1295" t="s">
        <v>662</v>
      </c>
      <c r="D77" s="475">
        <v>72086975</v>
      </c>
      <c r="E77" s="475">
        <v>71167794.802546322</v>
      </c>
    </row>
    <row r="78" spans="1:6">
      <c r="A78" s="341" t="s">
        <v>66</v>
      </c>
      <c r="B78" s="341" t="s">
        <v>657</v>
      </c>
      <c r="C78" s="341" t="s">
        <v>663</v>
      </c>
      <c r="D78" s="1296">
        <v>9416789</v>
      </c>
      <c r="E78" s="1296">
        <v>9602357.7001528163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205653</v>
      </c>
      <c r="C83" s="475">
        <v>204863.15924084117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2159.646653176474</v>
      </c>
    </row>
    <row r="92" spans="1:6">
      <c r="A92" s="341" t="s">
        <v>69</v>
      </c>
      <c r="B92" s="342">
        <v>1720.6951958492891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30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3</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58878.79673280313</v>
      </c>
      <c r="C3" s="43" t="s">
        <v>170</v>
      </c>
      <c r="D3" s="43"/>
      <c r="E3" s="154"/>
      <c r="F3" s="43"/>
      <c r="G3" s="43"/>
      <c r="H3" s="43"/>
      <c r="I3" s="43"/>
      <c r="J3" s="43"/>
      <c r="K3" s="96"/>
    </row>
    <row r="4" spans="1:11">
      <c r="A4" s="383" t="s">
        <v>171</v>
      </c>
      <c r="B4" s="49">
        <f>IF(ISERROR('SEAP template'!B78+'SEAP template'!C78),0,'SEAP template'!B78+'SEAP template'!C78)</f>
        <v>9190.3418490257627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0.18650429592079068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626.07899999999995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626.07899999999995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0.18650429592079068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116.7664230857927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18347.681934098298</v>
      </c>
      <c r="C5" s="17">
        <f>IF(ISERROR('Eigen informatie GS &amp; warmtenet'!B57),0,'Eigen informatie GS &amp; warmtenet'!B57)</f>
        <v>0</v>
      </c>
      <c r="D5" s="30">
        <f>(SUM(HH_hh_gas_kWh,HH_rest_gas_kWh)/1000)*0.902</f>
        <v>31939.120834060799</v>
      </c>
      <c r="E5" s="17">
        <f>B46*B57</f>
        <v>2869.2164153485824</v>
      </c>
      <c r="F5" s="17">
        <f>B51*B62</f>
        <v>16338.097699446698</v>
      </c>
      <c r="G5" s="18"/>
      <c r="H5" s="17"/>
      <c r="I5" s="17"/>
      <c r="J5" s="17">
        <f>B50*B61+C50*C61</f>
        <v>7154.3203417143413</v>
      </c>
      <c r="K5" s="17"/>
      <c r="L5" s="17"/>
      <c r="M5" s="17"/>
      <c r="N5" s="17">
        <f>B48*B59+C48*C59</f>
        <v>8861.433741253979</v>
      </c>
      <c r="O5" s="17">
        <f>B69*B70*B71</f>
        <v>207.92333333333335</v>
      </c>
      <c r="P5" s="17">
        <f>B77*B78*B79/1000-B77*B78*B79/1000/B80</f>
        <v>991.4666666666667</v>
      </c>
    </row>
    <row r="6" spans="1:16">
      <c r="A6" s="16" t="s">
        <v>621</v>
      </c>
      <c r="B6" s="788">
        <f>kWh_PV_kleiner_dan_10kW</f>
        <v>2159.646653176474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20507.328587274773</v>
      </c>
      <c r="C8" s="21">
        <f>C5</f>
        <v>0</v>
      </c>
      <c r="D8" s="21">
        <f>D5</f>
        <v>31939.120834060799</v>
      </c>
      <c r="E8" s="21">
        <f>E5</f>
        <v>2869.2164153485824</v>
      </c>
      <c r="F8" s="21">
        <f>F5</f>
        <v>16338.097699446698</v>
      </c>
      <c r="G8" s="21"/>
      <c r="H8" s="21"/>
      <c r="I8" s="21"/>
      <c r="J8" s="21">
        <f>J5</f>
        <v>7154.3203417143413</v>
      </c>
      <c r="K8" s="21"/>
      <c r="L8" s="21">
        <f>L5</f>
        <v>0</v>
      </c>
      <c r="M8" s="21">
        <f>M5</f>
        <v>0</v>
      </c>
      <c r="N8" s="21">
        <f>N5</f>
        <v>8861.433741253979</v>
      </c>
      <c r="O8" s="21">
        <f>O5</f>
        <v>207.92333333333335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0.18650429592079068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3824.7048793859844</v>
      </c>
      <c r="C12" s="23">
        <f ca="1">C10*C8</f>
        <v>0</v>
      </c>
      <c r="D12" s="23">
        <f>D8*D10</f>
        <v>6451.7024084802815</v>
      </c>
      <c r="E12" s="23">
        <f>E10*E8</f>
        <v>651.31212628412823</v>
      </c>
      <c r="F12" s="23">
        <f>F10*F8</f>
        <v>4362.272085752269</v>
      </c>
      <c r="G12" s="23"/>
      <c r="H12" s="23"/>
      <c r="I12" s="23"/>
      <c r="J12" s="23">
        <f>J10*J8</f>
        <v>2532.6294009668768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4216</v>
      </c>
      <c r="C28" s="36"/>
      <c r="D28" s="228"/>
    </row>
    <row r="29" spans="1:7" s="15" customFormat="1">
      <c r="A29" s="230" t="s">
        <v>794</v>
      </c>
      <c r="B29" s="37">
        <f>SUM(HH_hh_gas_aantal,HH_rest_gas_aantal)</f>
        <v>2085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2085</v>
      </c>
      <c r="C32" s="167">
        <f>IF(ISERROR(B32/SUM($B$32,$B$34,$B$35,$B$36,$B$38,$B$39)*100),0,B32/SUM($B$32,$B$34,$B$35,$B$36,$B$38,$B$39)*100)</f>
        <v>50.072046109510083</v>
      </c>
      <c r="D32" s="233"/>
      <c r="G32" s="15"/>
    </row>
    <row r="33" spans="1:7">
      <c r="A33" s="171" t="s">
        <v>72</v>
      </c>
      <c r="B33" s="34" t="s">
        <v>111</v>
      </c>
      <c r="C33" s="167"/>
      <c r="D33" s="233"/>
      <c r="G33" s="15"/>
    </row>
    <row r="34" spans="1:7">
      <c r="A34" s="171" t="s">
        <v>73</v>
      </c>
      <c r="B34" s="33">
        <f>IF((($B$28-$B$32-$B$39-$B$77-$B$38)*C20/100)&lt;0,0,($B$28-$B$32-$B$39-$B$77-$B$38)*C20/100)</f>
        <v>135.51020408163265</v>
      </c>
      <c r="C34" s="167">
        <f>IF(ISERROR(B34/SUM($B$32,$B$34,$B$35,$B$36,$B$38,$B$39)*100),0,B34/SUM($B$32,$B$34,$B$35,$B$36,$B$38,$B$39)*100)</f>
        <v>3.2543276676664901</v>
      </c>
      <c r="D34" s="233"/>
      <c r="G34" s="15"/>
    </row>
    <row r="35" spans="1:7">
      <c r="A35" s="171" t="s">
        <v>74</v>
      </c>
      <c r="B35" s="33">
        <f>IF((($B$28-$B$32-$B$39-$B$77-$B$38)*C21/100)&lt;0,0,($B$28-$B$32-$B$39-$B$77-$B$38)*C21/100)</f>
        <v>986.68367346938771</v>
      </c>
      <c r="C35" s="167">
        <f>IF(ISERROR(B35/SUM($B$32,$B$34,$B$35,$B$36,$B$38,$B$39)*100),0,B35/SUM($B$32,$B$34,$B$35,$B$36,$B$38,$B$39)*100)</f>
        <v>23.69557333019663</v>
      </c>
      <c r="D35" s="233"/>
      <c r="G35" s="15"/>
    </row>
    <row r="36" spans="1:7">
      <c r="A36" s="171" t="s">
        <v>75</v>
      </c>
      <c r="B36" s="33">
        <f>IF((($B$28-$B$32-$B$39-$B$77-$B$38)*C22/100)&lt;0,0,($B$28-$B$32-$B$39-$B$77-$B$38)*C22/100)</f>
        <v>122.80612244897958</v>
      </c>
      <c r="C36" s="167">
        <f>IF(ISERROR(B36/SUM($B$32,$B$34,$B$35,$B$36,$B$38,$B$39)*100),0,B36/SUM($B$32,$B$34,$B$35,$B$36,$B$38,$B$39)*100)</f>
        <v>2.9492344488227564</v>
      </c>
      <c r="D36" s="233"/>
      <c r="G36" s="15"/>
    </row>
    <row r="37" spans="1:7">
      <c r="A37" s="171" t="s">
        <v>76</v>
      </c>
      <c r="B37" s="34" t="s">
        <v>111</v>
      </c>
      <c r="C37" s="167"/>
      <c r="D37" s="173"/>
      <c r="G37" s="15"/>
    </row>
    <row r="38" spans="1:7">
      <c r="A38" s="171" t="s">
        <v>77</v>
      </c>
      <c r="B38" s="33">
        <f>IF((B24-(B29-B18)*0.1)&lt;0,0,B24-(B29-B18)*0.1)</f>
        <v>202.89999999999998</v>
      </c>
      <c r="C38" s="167">
        <f>IF(ISERROR(B38/SUM($B$32,$B$34,$B$35,$B$36,$B$38,$B$39)*100),0,B38/SUM($B$32,$B$34,$B$35,$B$36,$B$38,$B$39)*100)</f>
        <v>4.872718539865514</v>
      </c>
      <c r="D38" s="234"/>
      <c r="G38" s="15"/>
    </row>
    <row r="39" spans="1:7">
      <c r="A39" s="171" t="s">
        <v>78</v>
      </c>
      <c r="B39" s="33">
        <f>IF((B25-(B29-B18))&lt;0,0,B25-(B29-B18)*0.9)</f>
        <v>631.09999999999991</v>
      </c>
      <c r="C39" s="167">
        <f>IF(ISERROR(B39/SUM($B$32,$B$34,$B$35,$B$36,$B$38,$B$39)*100),0,B39/SUM($B$32,$B$34,$B$35,$B$36,$B$38,$B$39)*100)</f>
        <v>15.15609990393852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2085</v>
      </c>
      <c r="C44" s="34" t="s">
        <v>111</v>
      </c>
      <c r="D44" s="174"/>
    </row>
    <row r="45" spans="1:7">
      <c r="A45" s="171" t="s">
        <v>72</v>
      </c>
      <c r="B45" s="33" t="str">
        <f t="shared" si="0"/>
        <v>-</v>
      </c>
      <c r="C45" s="34" t="s">
        <v>111</v>
      </c>
      <c r="D45" s="174"/>
    </row>
    <row r="46" spans="1:7">
      <c r="A46" s="171" t="s">
        <v>73</v>
      </c>
      <c r="B46" s="33">
        <f t="shared" si="0"/>
        <v>135.51020408163265</v>
      </c>
      <c r="C46" s="34" t="s">
        <v>111</v>
      </c>
      <c r="D46" s="174"/>
    </row>
    <row r="47" spans="1:7">
      <c r="A47" s="171" t="s">
        <v>74</v>
      </c>
      <c r="B47" s="33">
        <f t="shared" si="0"/>
        <v>986.68367346938771</v>
      </c>
      <c r="C47" s="34" t="s">
        <v>111</v>
      </c>
      <c r="D47" s="174"/>
    </row>
    <row r="48" spans="1:7">
      <c r="A48" s="171" t="s">
        <v>75</v>
      </c>
      <c r="B48" s="33">
        <f t="shared" si="0"/>
        <v>122.80612244897958</v>
      </c>
      <c r="C48" s="33">
        <f>B48*10</f>
        <v>1228.0612244897957</v>
      </c>
      <c r="D48" s="234"/>
    </row>
    <row r="49" spans="1:6">
      <c r="A49" s="171" t="s">
        <v>76</v>
      </c>
      <c r="B49" s="33" t="str">
        <f t="shared" si="0"/>
        <v>-</v>
      </c>
      <c r="C49" s="34" t="s">
        <v>111</v>
      </c>
      <c r="D49" s="234"/>
    </row>
    <row r="50" spans="1:6">
      <c r="A50" s="171" t="s">
        <v>77</v>
      </c>
      <c r="B50" s="33">
        <f t="shared" si="0"/>
        <v>202.89999999999998</v>
      </c>
      <c r="C50" s="33">
        <f>B50*2</f>
        <v>405.79999999999995</v>
      </c>
      <c r="D50" s="234"/>
    </row>
    <row r="51" spans="1:6">
      <c r="A51" s="171" t="s">
        <v>78</v>
      </c>
      <c r="B51" s="33">
        <f t="shared" si="0"/>
        <v>631.09999999999991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7311.0098435305326</v>
      </c>
      <c r="C5" s="17">
        <f>IF(ISERROR('Eigen informatie GS &amp; warmtenet'!B58),0,'Eigen informatie GS &amp; warmtenet'!B58)</f>
        <v>0</v>
      </c>
      <c r="D5" s="30">
        <f>SUM(D6:D12)</f>
        <v>6208.8008593190152</v>
      </c>
      <c r="E5" s="17">
        <f>SUM(E6:E12)</f>
        <v>103.09966255423205</v>
      </c>
      <c r="F5" s="17">
        <f>SUM(F6:F12)</f>
        <v>1382.3789873242854</v>
      </c>
      <c r="G5" s="18"/>
      <c r="H5" s="17"/>
      <c r="I5" s="17"/>
      <c r="J5" s="17">
        <f>SUM(J6:J12)</f>
        <v>3.8676112450049364E-2</v>
      </c>
      <c r="K5" s="17"/>
      <c r="L5" s="17"/>
      <c r="M5" s="17"/>
      <c r="N5" s="17">
        <f>SUM(N6:N12)</f>
        <v>1524.4618358874109</v>
      </c>
      <c r="O5" s="17">
        <f>B38*B39*B40</f>
        <v>4.6900000000000004</v>
      </c>
      <c r="P5" s="17">
        <f>B46*B47*B48/1000-B46*B47*B48/1000/B49</f>
        <v>19.066666666666666</v>
      </c>
      <c r="R5" s="32"/>
    </row>
    <row r="6" spans="1:18">
      <c r="A6" s="32" t="s">
        <v>54</v>
      </c>
      <c r="B6" s="37">
        <f>B26</f>
        <v>1121.9831098424402</v>
      </c>
      <c r="C6" s="33"/>
      <c r="D6" s="37">
        <f>IF(ISERROR(TER_kantoor_gas_kWh/1000),0,TER_kantoor_gas_kWh/1000)*0.902</f>
        <v>986.03726559544543</v>
      </c>
      <c r="E6" s="33">
        <f>$C$26*'E Balans VL '!I12/100/3.6*1000000</f>
        <v>7.032216966756248E-3</v>
      </c>
      <c r="F6" s="33">
        <f>$C$26*('E Balans VL '!L12+'E Balans VL '!N12)/100/3.6*1000000</f>
        <v>168.60271021114804</v>
      </c>
      <c r="G6" s="34"/>
      <c r="H6" s="33"/>
      <c r="I6" s="33"/>
      <c r="J6" s="33">
        <f>$C$26*('E Balans VL '!D12+'E Balans VL '!E12)/100/3.6*1000000</f>
        <v>0</v>
      </c>
      <c r="K6" s="33"/>
      <c r="L6" s="33"/>
      <c r="M6" s="33"/>
      <c r="N6" s="33">
        <f>$C$26*'E Balans VL '!Y12/100/3.6*1000000</f>
        <v>1.0730104923120707</v>
      </c>
      <c r="O6" s="33"/>
      <c r="P6" s="33"/>
      <c r="R6" s="32"/>
    </row>
    <row r="7" spans="1:18">
      <c r="A7" s="32" t="s">
        <v>53</v>
      </c>
      <c r="B7" s="37">
        <f t="shared" ref="B7:B12" si="0">B27</f>
        <v>635.13168320308603</v>
      </c>
      <c r="C7" s="33"/>
      <c r="D7" s="37">
        <f>IF(ISERROR(TER_horeca_gas_kWh/1000),0,TER_horeca_gas_kWh/1000)*0.902</f>
        <v>685.63736521555882</v>
      </c>
      <c r="E7" s="33">
        <f>$C$27*'E Balans VL '!I9/100/3.6*1000000</f>
        <v>9.094979910725403</v>
      </c>
      <c r="F7" s="33">
        <f>$C$27*('E Balans VL '!L9+'E Balans VL '!N9)/100/3.6*1000000</f>
        <v>80.428618543441317</v>
      </c>
      <c r="G7" s="34"/>
      <c r="H7" s="33"/>
      <c r="I7" s="33"/>
      <c r="J7" s="33">
        <f>$C$27*('E Balans VL '!D9+'E Balans VL '!E9)/100/3.6*1000000</f>
        <v>0</v>
      </c>
      <c r="K7" s="33"/>
      <c r="L7" s="33"/>
      <c r="M7" s="33"/>
      <c r="N7" s="33">
        <f>$C$27*'E Balans VL '!Y9/100/3.6*1000000</f>
        <v>0.18258635546932417</v>
      </c>
      <c r="O7" s="33"/>
      <c r="P7" s="33"/>
      <c r="R7" s="32"/>
    </row>
    <row r="8" spans="1:18">
      <c r="A8" s="6" t="s">
        <v>52</v>
      </c>
      <c r="B8" s="37">
        <f t="shared" si="0"/>
        <v>1907.7420108342699</v>
      </c>
      <c r="C8" s="33"/>
      <c r="D8" s="37">
        <f>IF(ISERROR(TER_handel_gas_kWh/1000),0,TER_handel_gas_kWh/1000)*0.902</f>
        <v>296.00300205481165</v>
      </c>
      <c r="E8" s="33">
        <f>$C$28*'E Balans VL '!I13/100/3.6*1000000</f>
        <v>69.193567480753842</v>
      </c>
      <c r="F8" s="33">
        <f>$C$28*('E Balans VL '!L13+'E Balans VL '!N13)/100/3.6*1000000</f>
        <v>367.45042840268394</v>
      </c>
      <c r="G8" s="34"/>
      <c r="H8" s="33"/>
      <c r="I8" s="33"/>
      <c r="J8" s="33">
        <f>$C$28*('E Balans VL '!D13+'E Balans VL '!E13)/100/3.6*1000000</f>
        <v>0</v>
      </c>
      <c r="K8" s="33"/>
      <c r="L8" s="33"/>
      <c r="M8" s="33"/>
      <c r="N8" s="33">
        <f>$C$28*'E Balans VL '!Y13/100/3.6*1000000</f>
        <v>2.64266163686549</v>
      </c>
      <c r="O8" s="33"/>
      <c r="P8" s="33"/>
      <c r="R8" s="32"/>
    </row>
    <row r="9" spans="1:18">
      <c r="A9" s="32" t="s">
        <v>51</v>
      </c>
      <c r="B9" s="37">
        <f t="shared" si="0"/>
        <v>233.05004172947602</v>
      </c>
      <c r="C9" s="33"/>
      <c r="D9" s="37">
        <f>IF(ISERROR(TER_gezond_gas_kWh/1000),0,TER_gezond_gas_kWh/1000)*0.902</f>
        <v>125.98376279860098</v>
      </c>
      <c r="E9" s="33">
        <f>$C$29*'E Balans VL '!I10/100/3.6*1000000</f>
        <v>1.4591233565735997E-2</v>
      </c>
      <c r="F9" s="33">
        <f>$C$29*('E Balans VL '!L10+'E Balans VL '!N10)/100/3.6*1000000</f>
        <v>34.620293268714875</v>
      </c>
      <c r="G9" s="34"/>
      <c r="H9" s="33"/>
      <c r="I9" s="33"/>
      <c r="J9" s="33">
        <f>$C$29*('E Balans VL '!D10+'E Balans VL '!E10)/100/3.6*1000000</f>
        <v>0</v>
      </c>
      <c r="K9" s="33"/>
      <c r="L9" s="33"/>
      <c r="M9" s="33"/>
      <c r="N9" s="33">
        <f>$C$29*'E Balans VL '!Y10/100/3.6*1000000</f>
        <v>3.6048405328783346</v>
      </c>
      <c r="O9" s="33"/>
      <c r="P9" s="33"/>
      <c r="R9" s="32"/>
    </row>
    <row r="10" spans="1:18">
      <c r="A10" s="32" t="s">
        <v>50</v>
      </c>
      <c r="B10" s="37">
        <f t="shared" si="0"/>
        <v>1587.8029303794101</v>
      </c>
      <c r="C10" s="33"/>
      <c r="D10" s="37">
        <f>IF(ISERROR(TER_ander_gas_kWh/1000),0,TER_ander_gas_kWh/1000)*0.902</f>
        <v>1407.2930844014936</v>
      </c>
      <c r="E10" s="33">
        <f>$C$30*'E Balans VL '!I14/100/3.6*1000000</f>
        <v>1.8926043545226454</v>
      </c>
      <c r="F10" s="33">
        <f>$C$30*('E Balans VL '!L14+'E Balans VL '!N14)/100/3.6*1000000</f>
        <v>415.43983476132138</v>
      </c>
      <c r="G10" s="34"/>
      <c r="H10" s="33"/>
      <c r="I10" s="33"/>
      <c r="J10" s="33">
        <f>$C$30*('E Balans VL '!D14+'E Balans VL '!E14)/100/3.6*1000000</f>
        <v>3.4464977602907176E-2</v>
      </c>
      <c r="K10" s="33"/>
      <c r="L10" s="33"/>
      <c r="M10" s="33"/>
      <c r="N10" s="33">
        <f>$C$30*'E Balans VL '!Y14/100/3.6*1000000</f>
        <v>1348.3233954873836</v>
      </c>
      <c r="O10" s="33"/>
      <c r="P10" s="33"/>
      <c r="R10" s="32"/>
    </row>
    <row r="11" spans="1:18">
      <c r="A11" s="32" t="s">
        <v>55</v>
      </c>
      <c r="B11" s="37">
        <f t="shared" si="0"/>
        <v>86.257755020961</v>
      </c>
      <c r="C11" s="33"/>
      <c r="D11" s="37">
        <f>IF(ISERROR(TER_onderwijs_gas_kWh/1000),0,TER_onderwijs_gas_kWh/1000)*0.902</f>
        <v>147.83922248638362</v>
      </c>
      <c r="E11" s="33">
        <f>$C$31*'E Balans VL '!I11/100/3.6*1000000</f>
        <v>1.3014905919409028</v>
      </c>
      <c r="F11" s="33">
        <f>$C$31*('E Balans VL '!L11+'E Balans VL '!N11)/100/3.6*1000000</f>
        <v>15.113736688304122</v>
      </c>
      <c r="G11" s="34"/>
      <c r="H11" s="33"/>
      <c r="I11" s="33"/>
      <c r="J11" s="33">
        <f>$C$31*('E Balans VL '!D11+'E Balans VL '!E11)/100/3.6*1000000</f>
        <v>0</v>
      </c>
      <c r="K11" s="33"/>
      <c r="L11" s="33"/>
      <c r="M11" s="33"/>
      <c r="N11" s="33">
        <f>$C$31*'E Balans VL '!Y11/100/3.6*1000000</f>
        <v>0.24273588019324527</v>
      </c>
      <c r="O11" s="33"/>
      <c r="P11" s="33"/>
      <c r="R11" s="32"/>
    </row>
    <row r="12" spans="1:18">
      <c r="A12" s="32" t="s">
        <v>260</v>
      </c>
      <c r="B12" s="37">
        <f t="shared" si="0"/>
        <v>1739.0423125208899</v>
      </c>
      <c r="C12" s="33"/>
      <c r="D12" s="37">
        <f>IF(ISERROR(TER_rest_gas_kWh/1000),0,TER_rest_gas_kWh/1000)*0.902</f>
        <v>2560.007156766721</v>
      </c>
      <c r="E12" s="33">
        <f>$C$32*'E Balans VL '!I8/100/3.6*1000000</f>
        <v>21.595396765756767</v>
      </c>
      <c r="F12" s="33">
        <f>$C$32*('E Balans VL '!L8+'E Balans VL '!N8)/100/3.6*1000000</f>
        <v>300.72336544867176</v>
      </c>
      <c r="G12" s="34"/>
      <c r="H12" s="33"/>
      <c r="I12" s="33"/>
      <c r="J12" s="33">
        <f>$C$32*('E Balans VL '!D8+'E Balans VL '!E8)/100/3.6*1000000</f>
        <v>4.2111348471421898E-3</v>
      </c>
      <c r="K12" s="33"/>
      <c r="L12" s="33"/>
      <c r="M12" s="33"/>
      <c r="N12" s="33">
        <f>$C$32*'E Balans VL '!Y8/100/3.6*1000000</f>
        <v>168.39260550230873</v>
      </c>
      <c r="O12" s="33"/>
      <c r="P12" s="33"/>
      <c r="R12" s="32"/>
    </row>
    <row r="13" spans="1:18">
      <c r="A13" s="16" t="s">
        <v>488</v>
      </c>
      <c r="B13" s="247">
        <f ca="1">'lokale energieproductie'!N91+'lokale energieproductie'!N60</f>
        <v>5310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-15171.428571428572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12621.009843530534</v>
      </c>
      <c r="C16" s="21">
        <f t="shared" ca="1" si="1"/>
        <v>0</v>
      </c>
      <c r="D16" s="21">
        <f t="shared" ca="1" si="1"/>
        <v>6208.8008593190152</v>
      </c>
      <c r="E16" s="21">
        <f t="shared" si="1"/>
        <v>103.09966255423205</v>
      </c>
      <c r="F16" s="21">
        <f t="shared" ca="1" si="1"/>
        <v>1382.3789873242854</v>
      </c>
      <c r="G16" s="21">
        <f t="shared" si="1"/>
        <v>0</v>
      </c>
      <c r="H16" s="21">
        <f t="shared" si="1"/>
        <v>0</v>
      </c>
      <c r="I16" s="21">
        <f t="shared" si="1"/>
        <v>0</v>
      </c>
      <c r="J16" s="21">
        <f t="shared" si="1"/>
        <v>3.8676112450049364E-2</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0.18650429592079068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2353.8725546770306</v>
      </c>
      <c r="C20" s="23">
        <f t="shared" ref="C20:P20" ca="1" si="2">C16*C18</f>
        <v>0</v>
      </c>
      <c r="D20" s="23">
        <f t="shared" ca="1" si="2"/>
        <v>1254.1777735824412</v>
      </c>
      <c r="E20" s="23">
        <f t="shared" si="2"/>
        <v>23.403623399810677</v>
      </c>
      <c r="F20" s="23">
        <f t="shared" ca="1" si="2"/>
        <v>369.09518961558422</v>
      </c>
      <c r="G20" s="23">
        <f t="shared" si="2"/>
        <v>0</v>
      </c>
      <c r="H20" s="23">
        <f t="shared" si="2"/>
        <v>0</v>
      </c>
      <c r="I20" s="23">
        <f t="shared" si="2"/>
        <v>0</v>
      </c>
      <c r="J20" s="23">
        <f t="shared" si="2"/>
        <v>1.3691343807317475E-2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1121.9831098424402</v>
      </c>
      <c r="C26" s="39">
        <f>IF(ISERROR(B26*3.6/1000000/'E Balans VL '!Z12*100),0,B26*3.6/1000000/'E Balans VL '!Z12*100)</f>
        <v>2.3716945577256426E-2</v>
      </c>
      <c r="D26" s="237" t="s">
        <v>754</v>
      </c>
      <c r="F26" s="6"/>
    </row>
    <row r="27" spans="1:18">
      <c r="A27" s="231" t="s">
        <v>53</v>
      </c>
      <c r="B27" s="33">
        <f>IF(ISERROR(TER_horeca_ele_kWh/1000),0,TER_horeca_ele_kWh/1000)</f>
        <v>635.13168320308603</v>
      </c>
      <c r="C27" s="39">
        <f>IF(ISERROR(B27*3.6/1000000/'E Balans VL '!Z9*100),0,B27*3.6/1000000/'E Balans VL '!Z9*100)</f>
        <v>5.0067193861235648E-2</v>
      </c>
      <c r="D27" s="237" t="s">
        <v>754</v>
      </c>
      <c r="F27" s="6"/>
    </row>
    <row r="28" spans="1:18">
      <c r="A28" s="171" t="s">
        <v>52</v>
      </c>
      <c r="B28" s="33">
        <f>IF(ISERROR(TER_handel_ele_kWh/1000),0,TER_handel_ele_kWh/1000)</f>
        <v>1907.7420108342699</v>
      </c>
      <c r="C28" s="39">
        <f>IF(ISERROR(B28*3.6/1000000/'E Balans VL '!Z13*100),0,B28*3.6/1000000/'E Balans VL '!Z13*100)</f>
        <v>5.5370381295878582E-2</v>
      </c>
      <c r="D28" s="237" t="s">
        <v>754</v>
      </c>
      <c r="F28" s="6"/>
    </row>
    <row r="29" spans="1:18">
      <c r="A29" s="231" t="s">
        <v>51</v>
      </c>
      <c r="B29" s="33">
        <f>IF(ISERROR(TER_gezond_ele_kWh/1000),0,TER_gezond_ele_kWh/1000)</f>
        <v>233.05004172947602</v>
      </c>
      <c r="C29" s="39">
        <f>IF(ISERROR(B29*3.6/1000000/'E Balans VL '!Z10*100),0,B29*3.6/1000000/'E Balans VL '!Z10*100)</f>
        <v>2.4543996176811293E-2</v>
      </c>
      <c r="D29" s="237" t="s">
        <v>754</v>
      </c>
      <c r="F29" s="6"/>
    </row>
    <row r="30" spans="1:18">
      <c r="A30" s="231" t="s">
        <v>50</v>
      </c>
      <c r="B30" s="33">
        <f>IF(ISERROR(TER_ander_ele_kWh/1000),0,TER_ander_ele_kWh/1000)</f>
        <v>1587.8029303794101</v>
      </c>
      <c r="C30" s="39">
        <f>IF(ISERROR(B30*3.6/1000000/'E Balans VL '!Z14*100),0,B30*3.6/1000000/'E Balans VL '!Z14*100)</f>
        <v>0.11711668901386627</v>
      </c>
      <c r="D30" s="237" t="s">
        <v>754</v>
      </c>
      <c r="F30" s="6"/>
    </row>
    <row r="31" spans="1:18">
      <c r="A31" s="231" t="s">
        <v>55</v>
      </c>
      <c r="B31" s="33">
        <f>IF(ISERROR(TER_onderwijs_ele_kWh/1000),0,TER_onderwijs_ele_kWh/1000)</f>
        <v>86.257755020961</v>
      </c>
      <c r="C31" s="39">
        <f>IF(ISERROR(B31*3.6/1000000/'E Balans VL '!Z11*100),0,B31*3.6/1000000/'E Balans VL '!Z11*100)</f>
        <v>2.1421841122906179E-2</v>
      </c>
      <c r="D31" s="237" t="s">
        <v>754</v>
      </c>
    </row>
    <row r="32" spans="1:18">
      <c r="A32" s="231" t="s">
        <v>260</v>
      </c>
      <c r="B32" s="33">
        <f>IF(ISERROR(TER_rest_ele_kWh/1000),0,TER_rest_ele_kWh/1000)</f>
        <v>1739.0423125208899</v>
      </c>
      <c r="C32" s="39">
        <f>IF(ISERROR(B32*3.6/1000000/'E Balans VL '!Z8*100),0,B32*3.6/1000000/'E Balans VL '!Z8*100)</f>
        <v>1.4310009888026312E-2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23283.79261706597</v>
      </c>
      <c r="C5" s="17">
        <f>IF(ISERROR('Eigen informatie GS &amp; warmtenet'!B59),0,'Eigen informatie GS &amp; warmtenet'!B59)</f>
        <v>0</v>
      </c>
      <c r="D5" s="30">
        <f>SUM(D6:D15)</f>
        <v>74030.423834041634</v>
      </c>
      <c r="E5" s="17">
        <f>SUM(E6:E15)</f>
        <v>1410.777688353973</v>
      </c>
      <c r="F5" s="17">
        <f>SUM(F6:F15)</f>
        <v>4940.4278765904046</v>
      </c>
      <c r="G5" s="18"/>
      <c r="H5" s="17"/>
      <c r="I5" s="17"/>
      <c r="J5" s="17">
        <f>SUM(J6:J15)</f>
        <v>78.93353789801084</v>
      </c>
      <c r="K5" s="17"/>
      <c r="L5" s="17"/>
      <c r="M5" s="17"/>
      <c r="N5" s="17">
        <f>SUM(N6:N15)</f>
        <v>5202.8417864421117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46.799697365174204</v>
      </c>
      <c r="C8" s="33"/>
      <c r="D8" s="37">
        <f>IF( ISERROR(IND_metaal_Gas_kWH/1000),0,IND_metaal_Gas_kWH/1000)*0.902</f>
        <v>0</v>
      </c>
      <c r="E8" s="33">
        <f>C30*'E Balans VL '!I18/100/3.6*1000000</f>
        <v>0.43027801769521229</v>
      </c>
      <c r="F8" s="33">
        <f>C30*'E Balans VL '!L18/100/3.6*1000000+C30*'E Balans VL '!N18/100/3.6*1000000</f>
        <v>4.3882534932080404</v>
      </c>
      <c r="G8" s="34"/>
      <c r="H8" s="33"/>
      <c r="I8" s="33"/>
      <c r="J8" s="40">
        <f>C30*'E Balans VL '!D18/100/3.6*1000000+C30*'E Balans VL '!E18/100/3.6*1000000</f>
        <v>0</v>
      </c>
      <c r="K8" s="33"/>
      <c r="L8" s="33"/>
      <c r="M8" s="33"/>
      <c r="N8" s="33">
        <f>C30*'E Balans VL '!Y18/100/3.6*1000000</f>
        <v>0.66767502267096424</v>
      </c>
      <c r="O8" s="33"/>
      <c r="P8" s="33"/>
      <c r="R8" s="32"/>
    </row>
    <row r="9" spans="1:18">
      <c r="A9" s="6" t="s">
        <v>33</v>
      </c>
      <c r="B9" s="37">
        <f t="shared" si="0"/>
        <v>655.77222617914799</v>
      </c>
      <c r="C9" s="33"/>
      <c r="D9" s="37">
        <f>IF( ISERROR(IND_andere_gas_kWh/1000),0,IND_andere_gas_kWh/1000)*0.902</f>
        <v>333.20743736721454</v>
      </c>
      <c r="E9" s="33">
        <f>C31*'E Balans VL '!I19/100/3.6*1000000</f>
        <v>191.69498809162292</v>
      </c>
      <c r="F9" s="33">
        <f>C31*'E Balans VL '!L19/100/3.6*1000000+C31*'E Balans VL '!N19/100/3.6*1000000</f>
        <v>526.96262113148919</v>
      </c>
      <c r="G9" s="34"/>
      <c r="H9" s="33"/>
      <c r="I9" s="33"/>
      <c r="J9" s="40">
        <f>C31*'E Balans VL '!D19/100/3.6*1000000+C31*'E Balans VL '!E19/100/3.6*1000000</f>
        <v>0</v>
      </c>
      <c r="K9" s="33"/>
      <c r="L9" s="33"/>
      <c r="M9" s="33"/>
      <c r="N9" s="33">
        <f>C31*'E Balans VL '!Y19/100/3.6*1000000</f>
        <v>216.67731383574323</v>
      </c>
      <c r="O9" s="33"/>
      <c r="P9" s="33"/>
      <c r="R9" s="32"/>
    </row>
    <row r="10" spans="1:18">
      <c r="A10" s="6" t="s">
        <v>41</v>
      </c>
      <c r="B10" s="37">
        <f t="shared" si="0"/>
        <v>512.70858217498096</v>
      </c>
      <c r="C10" s="33"/>
      <c r="D10" s="37">
        <f>IF( ISERROR(IND_voed_gas_kWh/1000),0,IND_voed_gas_kWh/1000)*0.902</f>
        <v>0</v>
      </c>
      <c r="E10" s="33">
        <f>C32*'E Balans VL '!I20/100/3.6*1000000</f>
        <v>1.084642955231893</v>
      </c>
      <c r="F10" s="33">
        <f>C32*'E Balans VL '!L20/100/3.6*1000000+C32*'E Balans VL '!N20/100/3.6*1000000</f>
        <v>32.59853537114423</v>
      </c>
      <c r="G10" s="34"/>
      <c r="H10" s="33"/>
      <c r="I10" s="33"/>
      <c r="J10" s="40">
        <f>C32*'E Balans VL '!D20/100/3.6*1000000+C32*'E Balans VL '!E20/100/3.6*1000000</f>
        <v>0</v>
      </c>
      <c r="K10" s="33"/>
      <c r="L10" s="33"/>
      <c r="M10" s="33"/>
      <c r="N10" s="33">
        <f>C32*'E Balans VL '!Y20/100/3.6*1000000</f>
        <v>35.381951701990133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36.823753690267004</v>
      </c>
      <c r="C12" s="33"/>
      <c r="D12" s="37">
        <f>IF( ISERROR(IND_min_gas_kWh/1000),0,IND_min_gas_kWh/1000)*0.902</f>
        <v>0</v>
      </c>
      <c r="E12" s="33">
        <f>C34*'E Balans VL '!I22/100/3.6*1000000</f>
        <v>1.0673689916311002</v>
      </c>
      <c r="F12" s="33">
        <f>C34*'E Balans VL '!L22/100/3.6*1000000+C34*'E Balans VL '!N22/100/3.6*1000000</f>
        <v>12.660422636404551</v>
      </c>
      <c r="G12" s="34"/>
      <c r="H12" s="33"/>
      <c r="I12" s="33"/>
      <c r="J12" s="40">
        <f>C34*'E Balans VL '!D22/100/3.6*1000000+C34*'E Balans VL '!E22/100/3.6*1000000</f>
        <v>6.0512523985761804E-2</v>
      </c>
      <c r="K12" s="33"/>
      <c r="L12" s="33"/>
      <c r="M12" s="33"/>
      <c r="N12" s="33">
        <f>C34*'E Balans VL '!Y22/100/3.6*1000000</f>
        <v>8.0613248182700303</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22031.6883576564</v>
      </c>
      <c r="C15" s="33"/>
      <c r="D15" s="37">
        <f>IF( ISERROR(IND_rest_gas_kWh/1000),0,IND_rest_gas_kWh/1000)*0.902</f>
        <v>73697.216396674427</v>
      </c>
      <c r="E15" s="33">
        <f>C37*'E Balans VL '!I15/100/3.6*1000000</f>
        <v>1216.5004102977919</v>
      </c>
      <c r="F15" s="33">
        <f>C37*'E Balans VL '!L15/100/3.6*1000000+C37*'E Balans VL '!N15/100/3.6*1000000</f>
        <v>4363.8180439581583</v>
      </c>
      <c r="G15" s="34"/>
      <c r="H15" s="33"/>
      <c r="I15" s="33"/>
      <c r="J15" s="40">
        <f>C37*'E Balans VL '!D15/100/3.6*1000000+C37*'E Balans VL '!E15/100/3.6*1000000</f>
        <v>78.873025374025076</v>
      </c>
      <c r="K15" s="33"/>
      <c r="L15" s="33"/>
      <c r="M15" s="33"/>
      <c r="N15" s="33">
        <f>C37*'E Balans VL '!Y15/100/3.6*1000000</f>
        <v>4942.0535210634371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23283.79261706597</v>
      </c>
      <c r="C18" s="21">
        <f>C5+C16</f>
        <v>0</v>
      </c>
      <c r="D18" s="21">
        <f>MAX((D5+D16),0)</f>
        <v>74030.423834041634</v>
      </c>
      <c r="E18" s="21">
        <f>MAX((E5+E16),0)</f>
        <v>1410.777688353973</v>
      </c>
      <c r="F18" s="21">
        <f>MAX((F5+F16),0)</f>
        <v>4940.4278765904046</v>
      </c>
      <c r="G18" s="21"/>
      <c r="H18" s="21"/>
      <c r="I18" s="21"/>
      <c r="J18" s="21">
        <f>MAX((J5+J16),0)</f>
        <v>78.93353789801084</v>
      </c>
      <c r="K18" s="21"/>
      <c r="L18" s="21">
        <f>MAX((L5+L16),0)</f>
        <v>0</v>
      </c>
      <c r="M18" s="21"/>
      <c r="N18" s="21">
        <f>MAX((N5+N16),0)</f>
        <v>5202.8417864421117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0.18650429592079068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4342.5273484115933</v>
      </c>
      <c r="C22" s="23">
        <f ca="1">C18*C20</f>
        <v>0</v>
      </c>
      <c r="D22" s="23">
        <f>D18*D20</f>
        <v>14954.145614476411</v>
      </c>
      <c r="E22" s="23">
        <f>E18*E20</f>
        <v>320.24653525635188</v>
      </c>
      <c r="F22" s="23">
        <f>F18*F20</f>
        <v>1319.0942430496382</v>
      </c>
      <c r="G22" s="23"/>
      <c r="H22" s="23"/>
      <c r="I22" s="23"/>
      <c r="J22" s="23">
        <f>J18*J20</f>
        <v>27.942472415895836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46.799697365174204</v>
      </c>
      <c r="C30" s="39">
        <f>IF(ISERROR(B30*3.6/1000000/'E Balans VL '!Z18*100),0,B30*3.6/1000000/'E Balans VL '!Z18*100)</f>
        <v>2.652258851957196E-3</v>
      </c>
      <c r="D30" s="237" t="s">
        <v>754</v>
      </c>
    </row>
    <row r="31" spans="1:18">
      <c r="A31" s="6" t="s">
        <v>33</v>
      </c>
      <c r="B31" s="37">
        <f>IF( ISERROR(IND_ander_ele_kWh/1000),0,IND_ander_ele_kWh/1000)</f>
        <v>655.77222617914799</v>
      </c>
      <c r="C31" s="39">
        <f>IF(ISERROR(B31*3.6/1000000/'E Balans VL '!Z19*100),0,B31*3.6/1000000/'E Balans VL '!Z19*100)</f>
        <v>2.9743097591461393E-2</v>
      </c>
      <c r="D31" s="237" t="s">
        <v>754</v>
      </c>
    </row>
    <row r="32" spans="1:18">
      <c r="A32" s="171" t="s">
        <v>41</v>
      </c>
      <c r="B32" s="37">
        <f>IF( ISERROR(IND_voed_ele_kWh/1000),0,IND_voed_ele_kWh/1000)</f>
        <v>512.70858217498096</v>
      </c>
      <c r="C32" s="39">
        <f>IF(ISERROR(B32*3.6/1000000/'E Balans VL '!Z20*100),0,B32*3.6/1000000/'E Balans VL '!Z20*100)</f>
        <v>1.5860403947111586E-2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36.823753690267004</v>
      </c>
      <c r="C34" s="39">
        <f>IF(ISERROR(B34*3.6/1000000/'E Balans VL '!Z22*100),0,B34*3.6/1000000/'E Balans VL '!Z22*100)</f>
        <v>6.6234444009955424E-3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22031.6883576564</v>
      </c>
      <c r="C37" s="39">
        <f>IF(ISERROR(B37*3.6/1000000/'E Balans VL '!Z15*100),0,B37*3.6/1000000/'E Balans VL '!Z15*100)</f>
        <v>0.17462818772102742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1218.0985438978851</v>
      </c>
      <c r="C5" s="17">
        <f>'Eigen informatie GS &amp; warmtenet'!B60</f>
        <v>0</v>
      </c>
      <c r="D5" s="30">
        <f>IF(ISERROR(SUM(LB_lb_gas_kWh,LB_rest_gas_kWh)/1000),0,SUM(LB_lb_gas_kWh,LB_rest_gas_kWh)/1000)*0.902</f>
        <v>56.117242458420918</v>
      </c>
      <c r="E5" s="17">
        <f>B17*'E Balans VL '!I25/3.6*1000000/100</f>
        <v>35.803636707537869</v>
      </c>
      <c r="F5" s="17">
        <f>B17*('E Balans VL '!L25/3.6*1000000+'E Balans VL '!N25/3.6*1000000)/100</f>
        <v>5074.5327112881514</v>
      </c>
      <c r="G5" s="18"/>
      <c r="H5" s="17"/>
      <c r="I5" s="17"/>
      <c r="J5" s="17">
        <f>('E Balans VL '!D25+'E Balans VL '!E25)/3.6*1000000*landbouw!B17/100</f>
        <v>176.4763200451346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1218.0985438978851</v>
      </c>
      <c r="C8" s="21">
        <f>C5+C6</f>
        <v>0</v>
      </c>
      <c r="D8" s="21">
        <f>MAX((D5+D6),0)</f>
        <v>56.117242458420918</v>
      </c>
      <c r="E8" s="21">
        <f>MAX((E5+E6),0)</f>
        <v>35.803636707537869</v>
      </c>
      <c r="F8" s="21">
        <f>MAX((F5+F6),0)</f>
        <v>5074.5327112881514</v>
      </c>
      <c r="G8" s="21"/>
      <c r="H8" s="21"/>
      <c r="I8" s="21"/>
      <c r="J8" s="21">
        <f>MAX((J5+J6),0)</f>
        <v>176.4763200451346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0.18650429592079068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227.18061129181538</v>
      </c>
      <c r="C12" s="23">
        <f ca="1">C8*C10</f>
        <v>0</v>
      </c>
      <c r="D12" s="23">
        <f>D8*D10</f>
        <v>11.335682976601026</v>
      </c>
      <c r="E12" s="23">
        <f>E8*E10</f>
        <v>8.1274255326110971</v>
      </c>
      <c r="F12" s="23">
        <f>F8*F10</f>
        <v>1354.9002339139365</v>
      </c>
      <c r="G12" s="23"/>
      <c r="H12" s="23"/>
      <c r="I12" s="23"/>
      <c r="J12" s="23">
        <f>J8*J10</f>
        <v>62.472617295977642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0.17285200504674239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141.52077618375387</v>
      </c>
      <c r="C26" s="247">
        <f>B26*'GWP N2O_CH4'!B5</f>
        <v>2971.9362998588313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16.159371560910344</v>
      </c>
      <c r="C27" s="247">
        <f>B27*'GWP N2O_CH4'!B5</f>
        <v>339.34680277911724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1.9523923560465177</v>
      </c>
      <c r="C28" s="247">
        <f>B28*'GWP N2O_CH4'!B4</f>
        <v>605.24163037442054</v>
      </c>
      <c r="D28" s="50"/>
    </row>
    <row r="29" spans="1:4">
      <c r="A29" s="41" t="s">
        <v>277</v>
      </c>
      <c r="B29" s="247">
        <f>B34*'ha_N2O bodem landbouw'!B4</f>
        <v>9.3880494387558286</v>
      </c>
      <c r="C29" s="247">
        <f>B29*'GWP N2O_CH4'!B4</f>
        <v>2910.2953260143067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2.1423205292664389E-3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1.5391051269074576E-4</v>
      </c>
      <c r="C5" s="463" t="s">
        <v>211</v>
      </c>
      <c r="D5" s="448">
        <f>SUM(D6:D11)</f>
        <v>5.610596786942367E-4</v>
      </c>
      <c r="E5" s="448">
        <f>SUM(E6:E11)</f>
        <v>8.5418529656528723E-4</v>
      </c>
      <c r="F5" s="461" t="s">
        <v>211</v>
      </c>
      <c r="G5" s="448">
        <f>SUM(G6:G11)</f>
        <v>0.30454222134780384</v>
      </c>
      <c r="H5" s="448">
        <f>SUM(H6:H11)</f>
        <v>6.4740504087376263E-2</v>
      </c>
      <c r="I5" s="463" t="s">
        <v>211</v>
      </c>
      <c r="J5" s="463" t="s">
        <v>211</v>
      </c>
      <c r="K5" s="463" t="s">
        <v>211</v>
      </c>
      <c r="L5" s="463" t="s">
        <v>211</v>
      </c>
      <c r="M5" s="448">
        <f>SUM(M6:M11)</f>
        <v>1.9702886601355336E-2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1.5256671621091291E-5</v>
      </c>
      <c r="C6" s="449"/>
      <c r="D6" s="892">
        <f>vkm_2011_GW_PW*SUMIFS(TableVerdeelsleutelVkm[CNG],TableVerdeelsleutelVkm[Voertuigtype],"Lichte voertuigen")*SUMIFS(TableECFTransport[EnergieConsumptieFactor (PJ per km)],TableECFTransport[Index],CONCATENATE($A6,"_CNG_CNG"))</f>
        <v>4.5761258330266254E-5</v>
      </c>
      <c r="E6" s="892">
        <f>vkm_2011_GW_PW*SUMIFS(TableVerdeelsleutelVkm[LPG],TableVerdeelsleutelVkm[Voertuigtype],"Lichte voertuigen")*SUMIFS(TableECFTransport[EnergieConsumptieFactor (PJ per km)],TableECFTransport[Index],CONCATENATE($A6,"_LPG_LPG"))</f>
        <v>6.2516452159956743E-5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1.616388872985559E-2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5.2048165815102776E-3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1.0979083988856594E-3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6.6036351073505053E-3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2.0126537941732272E-6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3.8589415627332416E-4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3.656052370656145E-5</v>
      </c>
      <c r="C8" s="449"/>
      <c r="D8" s="451">
        <f>vkm_2011_NGW_PW*SUMIFS(TableVerdeelsleutelVkm[CNG],TableVerdeelsleutelVkm[Voertuigtype],"Lichte voertuigen")*SUMIFS(TableECFTransport[EnergieConsumptieFactor (PJ per km)],TableECFTransport[Index],CONCATENATE($A8,"_CNG_CNG"))</f>
        <v>1.9497775265500206E-4</v>
      </c>
      <c r="E8" s="451">
        <f>vkm_2011_NGW_PW*SUMIFS(TableVerdeelsleutelVkm[LPG],TableVerdeelsleutelVkm[Voertuigtype],"Lichte voertuigen")*SUMIFS(TableECFTransport[EnergieConsumptieFactor (PJ per km)],TableECFTransport[Index],CONCATENATE($A8,"_LPG_LPG"))</f>
        <v>2.4668663937379509E-4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5.943794172916627E-2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2.155067724299042E-2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4.1083501600820763E-3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1.2498980738115013E-2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3.5862541117036662E-6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7.3039168353125812E-4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1.02093317363093E-4</v>
      </c>
      <c r="C10" s="449"/>
      <c r="D10" s="451">
        <f>vkm_2011_SW_PW*SUMIFS(TableVerdeelsleutelVkm[CNG],TableVerdeelsleutelVkm[Voertuigtype],"Lichte voertuigen")*SUMIFS(TableECFTransport[EnergieConsumptieFactor (PJ per km)],TableECFTransport[Index],CONCATENATE($A10,"_CNG_CNG"))</f>
        <v>3.2032066770896843E-4</v>
      </c>
      <c r="E10" s="451">
        <f>vkm_2011_SW_PW*SUMIFS(TableVerdeelsleutelVkm[LPG],TableVerdeelsleutelVkm[Voertuigtype],"Lichte voertuigen")*SUMIFS(TableECFTransport[EnergieConsumptieFactor (PJ per km)],TableECFTransport[Index],CONCATENATE($A10,"_LPG_LPG"))</f>
        <v>5.4498220503153543E-4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0.125619633024636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3.795169276133336E-2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8.458857646047235E-3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8.4218142018680442E-2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2.7718593636335219E-5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4.9214845565357847E-3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42.75292019187382</v>
      </c>
      <c r="C14" s="21"/>
      <c r="D14" s="21">
        <f t="shared" ref="D14:M14" si="0">((D5)*10^9/3600)+D12</f>
        <v>155.84991074839908</v>
      </c>
      <c r="E14" s="21">
        <f t="shared" si="0"/>
        <v>237.27369349035757</v>
      </c>
      <c r="F14" s="21"/>
      <c r="G14" s="21">
        <f t="shared" si="0"/>
        <v>84595.061485501064</v>
      </c>
      <c r="H14" s="21">
        <f t="shared" si="0"/>
        <v>17983.473357604518</v>
      </c>
      <c r="I14" s="21"/>
      <c r="J14" s="21"/>
      <c r="K14" s="21"/>
      <c r="L14" s="21"/>
      <c r="M14" s="21">
        <f t="shared" si="0"/>
        <v>5473.0240559320382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0.18650429592079068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7.9736032789431821</v>
      </c>
      <c r="C18" s="23"/>
      <c r="D18" s="23">
        <f t="shared" ref="D18:M18" si="1">D14*D16</f>
        <v>31.481681971176616</v>
      </c>
      <c r="E18" s="23">
        <f t="shared" si="1"/>
        <v>53.861128422311168</v>
      </c>
      <c r="F18" s="23"/>
      <c r="G18" s="23">
        <f t="shared" si="1"/>
        <v>22586.881416628785</v>
      </c>
      <c r="H18" s="23">
        <f t="shared" si="1"/>
        <v>4477.8848660435251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2.5830339344523555E-3</v>
      </c>
      <c r="H50" s="321">
        <f t="shared" si="2"/>
        <v>0</v>
      </c>
      <c r="I50" s="321">
        <f t="shared" si="2"/>
        <v>0</v>
      </c>
      <c r="J50" s="321">
        <f t="shared" si="2"/>
        <v>0</v>
      </c>
      <c r="K50" s="321">
        <f t="shared" si="2"/>
        <v>0</v>
      </c>
      <c r="L50" s="321">
        <f t="shared" si="2"/>
        <v>0</v>
      </c>
      <c r="M50" s="321">
        <f t="shared" si="2"/>
        <v>1.4670492447628621E-4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2.5830339344523555E-3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1.4670492447628621E-4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717.50942623676542</v>
      </c>
      <c r="H54" s="21">
        <f t="shared" si="3"/>
        <v>0</v>
      </c>
      <c r="I54" s="21">
        <f t="shared" si="3"/>
        <v>0</v>
      </c>
      <c r="J54" s="21">
        <f t="shared" si="3"/>
        <v>0</v>
      </c>
      <c r="K54" s="21">
        <f t="shared" si="3"/>
        <v>0</v>
      </c>
      <c r="L54" s="21">
        <f t="shared" si="3"/>
        <v>0</v>
      </c>
      <c r="M54" s="21">
        <f t="shared" si="3"/>
        <v>40.751367910079509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0.18650429592079068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191.57501680521636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13247.088843530533</v>
      </c>
      <c r="D10" s="1013">
        <f ca="1">tertiair!C16</f>
        <v>0</v>
      </c>
      <c r="E10" s="1013">
        <f ca="1">tertiair!D16</f>
        <v>6208.8008593190152</v>
      </c>
      <c r="F10" s="1013">
        <f>tertiair!E16</f>
        <v>103.09966255423205</v>
      </c>
      <c r="G10" s="1013">
        <f ca="1">tertiair!F16</f>
        <v>1382.3789873242854</v>
      </c>
      <c r="H10" s="1013">
        <f>tertiair!G16</f>
        <v>0</v>
      </c>
      <c r="I10" s="1013">
        <f>tertiair!H16</f>
        <v>0</v>
      </c>
      <c r="J10" s="1013">
        <f>tertiair!I16</f>
        <v>0</v>
      </c>
      <c r="K10" s="1013">
        <f>tertiair!J16</f>
        <v>3.8676112450049364E-2</v>
      </c>
      <c r="L10" s="1013">
        <f>tertiair!K16</f>
        <v>0</v>
      </c>
      <c r="M10" s="1013">
        <f ca="1">tertiair!L16</f>
        <v>0</v>
      </c>
      <c r="N10" s="1013">
        <f>tertiair!M16</f>
        <v>0</v>
      </c>
      <c r="O10" s="1013">
        <f ca="1">tertiair!N16</f>
        <v>0</v>
      </c>
      <c r="P10" s="1013">
        <f>tertiair!O16</f>
        <v>4.6900000000000004</v>
      </c>
      <c r="Q10" s="1014">
        <f>tertiair!P16</f>
        <v>19.066666666666666</v>
      </c>
      <c r="R10" s="700">
        <f ca="1">SUM(C10:Q10)</f>
        <v>20965.163695507181</v>
      </c>
      <c r="S10" s="67"/>
    </row>
    <row r="11" spans="1:19" s="473" customFormat="1">
      <c r="A11" s="809" t="s">
        <v>225</v>
      </c>
      <c r="B11" s="814"/>
      <c r="C11" s="1013">
        <f>huishoudens!B8</f>
        <v>20507.328587274773</v>
      </c>
      <c r="D11" s="1013">
        <f>huishoudens!C8</f>
        <v>0</v>
      </c>
      <c r="E11" s="1013">
        <f>huishoudens!D8</f>
        <v>31939.120834060799</v>
      </c>
      <c r="F11" s="1013">
        <f>huishoudens!E8</f>
        <v>2869.2164153485824</v>
      </c>
      <c r="G11" s="1013">
        <f>huishoudens!F8</f>
        <v>16338.097699446698</v>
      </c>
      <c r="H11" s="1013">
        <f>huishoudens!G8</f>
        <v>0</v>
      </c>
      <c r="I11" s="1013">
        <f>huishoudens!H8</f>
        <v>0</v>
      </c>
      <c r="J11" s="1013">
        <f>huishoudens!I8</f>
        <v>0</v>
      </c>
      <c r="K11" s="1013">
        <f>huishoudens!J8</f>
        <v>7154.3203417143413</v>
      </c>
      <c r="L11" s="1013">
        <f>huishoudens!K8</f>
        <v>0</v>
      </c>
      <c r="M11" s="1013">
        <f>huishoudens!L8</f>
        <v>0</v>
      </c>
      <c r="N11" s="1013">
        <f>huishoudens!M8</f>
        <v>0</v>
      </c>
      <c r="O11" s="1013">
        <f>huishoudens!N8</f>
        <v>8861.433741253979</v>
      </c>
      <c r="P11" s="1013">
        <f>huishoudens!O8</f>
        <v>207.92333333333335</v>
      </c>
      <c r="Q11" s="1014">
        <f>huishoudens!P8</f>
        <v>991.4666666666667</v>
      </c>
      <c r="R11" s="700">
        <f>SUM(C11:Q11)</f>
        <v>88868.907619099162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23283.79261706597</v>
      </c>
      <c r="D13" s="1013">
        <f>industrie!C18</f>
        <v>0</v>
      </c>
      <c r="E13" s="1013">
        <f>industrie!D18</f>
        <v>74030.423834041634</v>
      </c>
      <c r="F13" s="1013">
        <f>industrie!E18</f>
        <v>1410.777688353973</v>
      </c>
      <c r="G13" s="1013">
        <f>industrie!F18</f>
        <v>4940.4278765904046</v>
      </c>
      <c r="H13" s="1013">
        <f>industrie!G18</f>
        <v>0</v>
      </c>
      <c r="I13" s="1013">
        <f>industrie!H18</f>
        <v>0</v>
      </c>
      <c r="J13" s="1013">
        <f>industrie!I18</f>
        <v>0</v>
      </c>
      <c r="K13" s="1013">
        <f>industrie!J18</f>
        <v>78.93353789801084</v>
      </c>
      <c r="L13" s="1013">
        <f>industrie!K18</f>
        <v>0</v>
      </c>
      <c r="M13" s="1013">
        <f>industrie!L18</f>
        <v>0</v>
      </c>
      <c r="N13" s="1013">
        <f>industrie!M18</f>
        <v>0</v>
      </c>
      <c r="O13" s="1013">
        <f>industrie!N18</f>
        <v>5202.8417864421117</v>
      </c>
      <c r="P13" s="1013">
        <f>industrie!O18</f>
        <v>0</v>
      </c>
      <c r="Q13" s="1014">
        <f>industrie!P18</f>
        <v>0</v>
      </c>
      <c r="R13" s="700">
        <f>SUM(C13:Q13)</f>
        <v>108947.19734039211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57038.210047871275</v>
      </c>
      <c r="D16" s="732">
        <f t="shared" ref="D16:R16" ca="1" si="0">SUM(D9:D15)</f>
        <v>0</v>
      </c>
      <c r="E16" s="732">
        <f t="shared" ca="1" si="0"/>
        <v>112178.34552742145</v>
      </c>
      <c r="F16" s="732">
        <f t="shared" si="0"/>
        <v>4383.0937662567876</v>
      </c>
      <c r="G16" s="732">
        <f t="shared" ca="1" si="0"/>
        <v>22660.90456336139</v>
      </c>
      <c r="H16" s="732">
        <f t="shared" si="0"/>
        <v>0</v>
      </c>
      <c r="I16" s="732">
        <f t="shared" si="0"/>
        <v>0</v>
      </c>
      <c r="J16" s="732">
        <f t="shared" si="0"/>
        <v>0</v>
      </c>
      <c r="K16" s="732">
        <f t="shared" si="0"/>
        <v>7233.2925557248018</v>
      </c>
      <c r="L16" s="732">
        <f t="shared" si="0"/>
        <v>0</v>
      </c>
      <c r="M16" s="732">
        <f t="shared" ca="1" si="0"/>
        <v>0</v>
      </c>
      <c r="N16" s="732">
        <f t="shared" si="0"/>
        <v>0</v>
      </c>
      <c r="O16" s="732">
        <f t="shared" ca="1" si="0"/>
        <v>14064.275527696091</v>
      </c>
      <c r="P16" s="732">
        <f t="shared" si="0"/>
        <v>212.61333333333334</v>
      </c>
      <c r="Q16" s="732">
        <f t="shared" si="0"/>
        <v>1010.5333333333334</v>
      </c>
      <c r="R16" s="732">
        <f t="shared" ca="1" si="0"/>
        <v>218781.26865499845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717.50942623676542</v>
      </c>
      <c r="I19" s="1013">
        <f>transport!H54</f>
        <v>0</v>
      </c>
      <c r="J19" s="1013">
        <f>transport!I54</f>
        <v>0</v>
      </c>
      <c r="K19" s="1013">
        <f>transport!J54</f>
        <v>0</v>
      </c>
      <c r="L19" s="1013">
        <f>transport!K54</f>
        <v>0</v>
      </c>
      <c r="M19" s="1013">
        <f>transport!L54</f>
        <v>0</v>
      </c>
      <c r="N19" s="1013">
        <f>transport!M54</f>
        <v>40.751367910079509</v>
      </c>
      <c r="O19" s="1013">
        <f>transport!N54</f>
        <v>0</v>
      </c>
      <c r="P19" s="1013">
        <f>transport!O54</f>
        <v>0</v>
      </c>
      <c r="Q19" s="1014">
        <f>transport!P54</f>
        <v>0</v>
      </c>
      <c r="R19" s="700">
        <f>SUM(C19:Q19)</f>
        <v>758.26079414684489</v>
      </c>
      <c r="S19" s="67"/>
    </row>
    <row r="20" spans="1:19" s="473" customFormat="1">
      <c r="A20" s="809" t="s">
        <v>307</v>
      </c>
      <c r="B20" s="814"/>
      <c r="C20" s="1013">
        <f>transport!B14</f>
        <v>42.75292019187382</v>
      </c>
      <c r="D20" s="1013">
        <f>transport!C14</f>
        <v>0</v>
      </c>
      <c r="E20" s="1013">
        <f>transport!D14</f>
        <v>155.84991074839908</v>
      </c>
      <c r="F20" s="1013">
        <f>transport!E14</f>
        <v>237.27369349035757</v>
      </c>
      <c r="G20" s="1013">
        <f>transport!F14</f>
        <v>0</v>
      </c>
      <c r="H20" s="1013">
        <f>transport!G14</f>
        <v>84595.061485501064</v>
      </c>
      <c r="I20" s="1013">
        <f>transport!H14</f>
        <v>17983.473357604518</v>
      </c>
      <c r="J20" s="1013">
        <f>transport!I14</f>
        <v>0</v>
      </c>
      <c r="K20" s="1013">
        <f>transport!J14</f>
        <v>0</v>
      </c>
      <c r="L20" s="1013">
        <f>transport!K14</f>
        <v>0</v>
      </c>
      <c r="M20" s="1013">
        <f>transport!L14</f>
        <v>0</v>
      </c>
      <c r="N20" s="1013">
        <f>transport!M14</f>
        <v>5473.0240559320382</v>
      </c>
      <c r="O20" s="1013">
        <f>transport!N14</f>
        <v>0</v>
      </c>
      <c r="P20" s="1013">
        <f>transport!O14</f>
        <v>0</v>
      </c>
      <c r="Q20" s="1014">
        <f>transport!P14</f>
        <v>0</v>
      </c>
      <c r="R20" s="700">
        <f>SUM(C20:Q20)</f>
        <v>108487.43542346824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42.75292019187382</v>
      </c>
      <c r="D22" s="812">
        <f t="shared" ref="D22:R22" si="1">SUM(D18:D21)</f>
        <v>0</v>
      </c>
      <c r="E22" s="812">
        <f t="shared" si="1"/>
        <v>155.84991074839908</v>
      </c>
      <c r="F22" s="812">
        <f t="shared" si="1"/>
        <v>237.27369349035757</v>
      </c>
      <c r="G22" s="812">
        <f t="shared" si="1"/>
        <v>0</v>
      </c>
      <c r="H22" s="812">
        <f t="shared" si="1"/>
        <v>85312.570911737828</v>
      </c>
      <c r="I22" s="812">
        <f t="shared" si="1"/>
        <v>17983.473357604518</v>
      </c>
      <c r="J22" s="812">
        <f t="shared" si="1"/>
        <v>0</v>
      </c>
      <c r="K22" s="812">
        <f t="shared" si="1"/>
        <v>0</v>
      </c>
      <c r="L22" s="812">
        <f t="shared" si="1"/>
        <v>0</v>
      </c>
      <c r="M22" s="812">
        <f t="shared" si="1"/>
        <v>0</v>
      </c>
      <c r="N22" s="812">
        <f t="shared" si="1"/>
        <v>5513.7754238421176</v>
      </c>
      <c r="O22" s="812">
        <f t="shared" si="1"/>
        <v>0</v>
      </c>
      <c r="P22" s="812">
        <f t="shared" si="1"/>
        <v>0</v>
      </c>
      <c r="Q22" s="812">
        <f t="shared" si="1"/>
        <v>0</v>
      </c>
      <c r="R22" s="812">
        <f t="shared" si="1"/>
        <v>109245.69621761508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1218.0985438978851</v>
      </c>
      <c r="D24" s="1013">
        <f>+landbouw!C8</f>
        <v>0</v>
      </c>
      <c r="E24" s="1013">
        <f>+landbouw!D8</f>
        <v>56.117242458420918</v>
      </c>
      <c r="F24" s="1013">
        <f>+landbouw!E8</f>
        <v>35.803636707537869</v>
      </c>
      <c r="G24" s="1013">
        <f>+landbouw!F8</f>
        <v>5074.5327112881514</v>
      </c>
      <c r="H24" s="1013">
        <f>+landbouw!G8</f>
        <v>0</v>
      </c>
      <c r="I24" s="1013">
        <f>+landbouw!H8</f>
        <v>0</v>
      </c>
      <c r="J24" s="1013">
        <f>+landbouw!I8</f>
        <v>0</v>
      </c>
      <c r="K24" s="1013">
        <f>+landbouw!J8</f>
        <v>176.4763200451346</v>
      </c>
      <c r="L24" s="1013">
        <f>+landbouw!K8</f>
        <v>0</v>
      </c>
      <c r="M24" s="1013">
        <f>+landbouw!L8</f>
        <v>0</v>
      </c>
      <c r="N24" s="1013">
        <f>+landbouw!M8</f>
        <v>0</v>
      </c>
      <c r="O24" s="1013">
        <f>+landbouw!N8</f>
        <v>0</v>
      </c>
      <c r="P24" s="1013">
        <f>+landbouw!O8</f>
        <v>0</v>
      </c>
      <c r="Q24" s="1014">
        <f>+landbouw!P8</f>
        <v>0</v>
      </c>
      <c r="R24" s="700">
        <f>SUM(C24:Q24)</f>
        <v>6561.0284543971293</v>
      </c>
      <c r="S24" s="67"/>
    </row>
    <row r="25" spans="1:19" s="473" customFormat="1" ht="15" thickBot="1">
      <c r="A25" s="831" t="s">
        <v>836</v>
      </c>
      <c r="B25" s="1016"/>
      <c r="C25" s="1017">
        <f>IF(Onbekend_ele_kWh="---",0,Onbekend_ele_kWh)/1000+IF(REST_rest_ele_kWh="---",0,REST_rest_ele_kWh)/1000</f>
        <v>579.73522084209799</v>
      </c>
      <c r="D25" s="1017"/>
      <c r="E25" s="1017">
        <f>IF(onbekend_gas_kWh="---",0,onbekend_gas_kWh)/1000+IF(REST_rest_gas_kWh="---",0,REST_rest_gas_kWh)/1000</f>
        <v>877.13529733274902</v>
      </c>
      <c r="F25" s="1017"/>
      <c r="G25" s="1017"/>
      <c r="H25" s="1017"/>
      <c r="I25" s="1017"/>
      <c r="J25" s="1017"/>
      <c r="K25" s="1017"/>
      <c r="L25" s="1017"/>
      <c r="M25" s="1017"/>
      <c r="N25" s="1017"/>
      <c r="O25" s="1017"/>
      <c r="P25" s="1017"/>
      <c r="Q25" s="1018"/>
      <c r="R25" s="700">
        <f>SUM(C25:Q25)</f>
        <v>1456.8705181748469</v>
      </c>
      <c r="S25" s="67"/>
    </row>
    <row r="26" spans="1:19" s="473" customFormat="1" ht="15.75" thickBot="1">
      <c r="A26" s="705" t="s">
        <v>837</v>
      </c>
      <c r="B26" s="817"/>
      <c r="C26" s="812">
        <f>SUM(C24:C25)</f>
        <v>1797.8337647399831</v>
      </c>
      <c r="D26" s="812">
        <f t="shared" ref="D26:R26" si="2">SUM(D24:D25)</f>
        <v>0</v>
      </c>
      <c r="E26" s="812">
        <f t="shared" si="2"/>
        <v>933.25253979116997</v>
      </c>
      <c r="F26" s="812">
        <f t="shared" si="2"/>
        <v>35.803636707537869</v>
      </c>
      <c r="G26" s="812">
        <f t="shared" si="2"/>
        <v>5074.5327112881514</v>
      </c>
      <c r="H26" s="812">
        <f t="shared" si="2"/>
        <v>0</v>
      </c>
      <c r="I26" s="812">
        <f t="shared" si="2"/>
        <v>0</v>
      </c>
      <c r="J26" s="812">
        <f t="shared" si="2"/>
        <v>0</v>
      </c>
      <c r="K26" s="812">
        <f t="shared" si="2"/>
        <v>176.4763200451346</v>
      </c>
      <c r="L26" s="812">
        <f t="shared" si="2"/>
        <v>0</v>
      </c>
      <c r="M26" s="812">
        <f t="shared" si="2"/>
        <v>0</v>
      </c>
      <c r="N26" s="812">
        <f t="shared" si="2"/>
        <v>0</v>
      </c>
      <c r="O26" s="812">
        <f t="shared" si="2"/>
        <v>0</v>
      </c>
      <c r="P26" s="812">
        <f t="shared" si="2"/>
        <v>0</v>
      </c>
      <c r="Q26" s="812">
        <f t="shared" si="2"/>
        <v>0</v>
      </c>
      <c r="R26" s="812">
        <f t="shared" si="2"/>
        <v>8017.8989725719766</v>
      </c>
      <c r="S26" s="67"/>
    </row>
    <row r="27" spans="1:19" s="473" customFormat="1" ht="17.25" thickTop="1" thickBot="1">
      <c r="A27" s="706" t="s">
        <v>116</v>
      </c>
      <c r="B27" s="805"/>
      <c r="C27" s="707">
        <f ca="1">C22+C16+C26</f>
        <v>58878.79673280313</v>
      </c>
      <c r="D27" s="707">
        <f t="shared" ref="D27:R27" ca="1" si="3">D22+D16+D26</f>
        <v>0</v>
      </c>
      <c r="E27" s="707">
        <f t="shared" ca="1" si="3"/>
        <v>113267.44797796101</v>
      </c>
      <c r="F27" s="707">
        <f t="shared" si="3"/>
        <v>4656.1710964546837</v>
      </c>
      <c r="G27" s="707">
        <f t="shared" ca="1" si="3"/>
        <v>27735.437274649543</v>
      </c>
      <c r="H27" s="707">
        <f t="shared" si="3"/>
        <v>85312.570911737828</v>
      </c>
      <c r="I27" s="707">
        <f t="shared" si="3"/>
        <v>17983.473357604518</v>
      </c>
      <c r="J27" s="707">
        <f t="shared" si="3"/>
        <v>0</v>
      </c>
      <c r="K27" s="707">
        <f t="shared" si="3"/>
        <v>7409.7688757699361</v>
      </c>
      <c r="L27" s="707">
        <f t="shared" si="3"/>
        <v>0</v>
      </c>
      <c r="M27" s="707">
        <f t="shared" ca="1" si="3"/>
        <v>0</v>
      </c>
      <c r="N27" s="707">
        <f t="shared" si="3"/>
        <v>5513.7754238421176</v>
      </c>
      <c r="O27" s="707">
        <f t="shared" ca="1" si="3"/>
        <v>14064.275527696091</v>
      </c>
      <c r="P27" s="707">
        <f t="shared" si="3"/>
        <v>212.61333333333334</v>
      </c>
      <c r="Q27" s="707">
        <f t="shared" si="3"/>
        <v>1010.5333333333334</v>
      </c>
      <c r="R27" s="707">
        <f t="shared" ca="1" si="3"/>
        <v>336044.86384518555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2470.6389777628233</v>
      </c>
      <c r="D40" s="1013">
        <f ca="1">tertiair!C20</f>
        <v>0</v>
      </c>
      <c r="E40" s="1013">
        <f ca="1">tertiair!D20</f>
        <v>1254.1777735824412</v>
      </c>
      <c r="F40" s="1013">
        <f>tertiair!E20</f>
        <v>23.403623399810677</v>
      </c>
      <c r="G40" s="1013">
        <f ca="1">tertiair!F20</f>
        <v>369.09518961558422</v>
      </c>
      <c r="H40" s="1013">
        <f>tertiair!G20</f>
        <v>0</v>
      </c>
      <c r="I40" s="1013">
        <f>tertiair!H20</f>
        <v>0</v>
      </c>
      <c r="J40" s="1013">
        <f>tertiair!I20</f>
        <v>0</v>
      </c>
      <c r="K40" s="1013">
        <f>tertiair!J20</f>
        <v>1.3691343807317475E-2</v>
      </c>
      <c r="L40" s="1013">
        <f>tertiair!K20</f>
        <v>0</v>
      </c>
      <c r="M40" s="1013">
        <f ca="1">tertiair!L20</f>
        <v>0</v>
      </c>
      <c r="N40" s="1013">
        <f>tertiair!M20</f>
        <v>0</v>
      </c>
      <c r="O40" s="1013">
        <f ca="1">tertiair!N20</f>
        <v>0</v>
      </c>
      <c r="P40" s="1013">
        <f>tertiair!O20</f>
        <v>0</v>
      </c>
      <c r="Q40" s="774">
        <f>tertiair!P20</f>
        <v>0</v>
      </c>
      <c r="R40" s="850">
        <f t="shared" ca="1" si="4"/>
        <v>4117.329255704467</v>
      </c>
    </row>
    <row r="41" spans="1:18">
      <c r="A41" s="822" t="s">
        <v>225</v>
      </c>
      <c r="B41" s="829"/>
      <c r="C41" s="1013">
        <f ca="1">huishoudens!B12</f>
        <v>3824.7048793859844</v>
      </c>
      <c r="D41" s="1013">
        <f ca="1">huishoudens!C12</f>
        <v>0</v>
      </c>
      <c r="E41" s="1013">
        <f>huishoudens!D12</f>
        <v>6451.7024084802815</v>
      </c>
      <c r="F41" s="1013">
        <f>huishoudens!E12</f>
        <v>651.31212628412823</v>
      </c>
      <c r="G41" s="1013">
        <f>huishoudens!F12</f>
        <v>4362.272085752269</v>
      </c>
      <c r="H41" s="1013">
        <f>huishoudens!G12</f>
        <v>0</v>
      </c>
      <c r="I41" s="1013">
        <f>huishoudens!H12</f>
        <v>0</v>
      </c>
      <c r="J41" s="1013">
        <f>huishoudens!I12</f>
        <v>0</v>
      </c>
      <c r="K41" s="1013">
        <f>huishoudens!J12</f>
        <v>2532.6294009668768</v>
      </c>
      <c r="L41" s="1013">
        <f>huishoudens!K12</f>
        <v>0</v>
      </c>
      <c r="M41" s="1013">
        <f>huishoudens!L12</f>
        <v>0</v>
      </c>
      <c r="N41" s="1013">
        <f>huishoudens!M12</f>
        <v>0</v>
      </c>
      <c r="O41" s="1013">
        <f>huishoudens!N12</f>
        <v>0</v>
      </c>
      <c r="P41" s="1013">
        <f>huishoudens!O12</f>
        <v>0</v>
      </c>
      <c r="Q41" s="774">
        <f>huishoudens!P12</f>
        <v>0</v>
      </c>
      <c r="R41" s="850">
        <f t="shared" ca="1" si="4"/>
        <v>17822.62090086954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4342.5273484115933</v>
      </c>
      <c r="D43" s="1013">
        <f ca="1">industrie!C22</f>
        <v>0</v>
      </c>
      <c r="E43" s="1013">
        <f>industrie!D22</f>
        <v>14954.145614476411</v>
      </c>
      <c r="F43" s="1013">
        <f>industrie!E22</f>
        <v>320.24653525635188</v>
      </c>
      <c r="G43" s="1013">
        <f>industrie!F22</f>
        <v>1319.0942430496382</v>
      </c>
      <c r="H43" s="1013">
        <f>industrie!G22</f>
        <v>0</v>
      </c>
      <c r="I43" s="1013">
        <f>industrie!H22</f>
        <v>0</v>
      </c>
      <c r="J43" s="1013">
        <f>industrie!I22</f>
        <v>0</v>
      </c>
      <c r="K43" s="1013">
        <f>industrie!J22</f>
        <v>27.942472415895836</v>
      </c>
      <c r="L43" s="1013">
        <f>industrie!K22</f>
        <v>0</v>
      </c>
      <c r="M43" s="1013">
        <f>industrie!L22</f>
        <v>0</v>
      </c>
      <c r="N43" s="1013">
        <f>industrie!M22</f>
        <v>0</v>
      </c>
      <c r="O43" s="1013">
        <f>industrie!N22</f>
        <v>0</v>
      </c>
      <c r="P43" s="1013">
        <f>industrie!O22</f>
        <v>0</v>
      </c>
      <c r="Q43" s="774">
        <f>industrie!P22</f>
        <v>0</v>
      </c>
      <c r="R43" s="849">
        <f t="shared" ca="1" si="4"/>
        <v>20963.956213609894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10637.871205560401</v>
      </c>
      <c r="D46" s="732">
        <f t="shared" ref="D46:Q46" ca="1" si="5">SUM(D39:D45)</f>
        <v>0</v>
      </c>
      <c r="E46" s="732">
        <f t="shared" ca="1" si="5"/>
        <v>22660.025796539136</v>
      </c>
      <c r="F46" s="732">
        <f t="shared" si="5"/>
        <v>994.96228494029083</v>
      </c>
      <c r="G46" s="732">
        <f t="shared" ca="1" si="5"/>
        <v>6050.4615184174909</v>
      </c>
      <c r="H46" s="732">
        <f t="shared" si="5"/>
        <v>0</v>
      </c>
      <c r="I46" s="732">
        <f t="shared" si="5"/>
        <v>0</v>
      </c>
      <c r="J46" s="732">
        <f t="shared" si="5"/>
        <v>0</v>
      </c>
      <c r="K46" s="732">
        <f t="shared" si="5"/>
        <v>2560.5855647265798</v>
      </c>
      <c r="L46" s="732">
        <f t="shared" si="5"/>
        <v>0</v>
      </c>
      <c r="M46" s="732">
        <f t="shared" ca="1" si="5"/>
        <v>0</v>
      </c>
      <c r="N46" s="732">
        <f t="shared" si="5"/>
        <v>0</v>
      </c>
      <c r="O46" s="732">
        <f t="shared" ca="1" si="5"/>
        <v>0</v>
      </c>
      <c r="P46" s="732">
        <f t="shared" si="5"/>
        <v>0</v>
      </c>
      <c r="Q46" s="732">
        <f t="shared" si="5"/>
        <v>0</v>
      </c>
      <c r="R46" s="732">
        <f ca="1">SUM(R39:R45)</f>
        <v>42903.906370183904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191.57501680521636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191.57501680521636</v>
      </c>
    </row>
    <row r="50" spans="1:18">
      <c r="A50" s="825" t="s">
        <v>307</v>
      </c>
      <c r="B50" s="835"/>
      <c r="C50" s="703">
        <f ca="1">transport!B18</f>
        <v>7.9736032789431821</v>
      </c>
      <c r="D50" s="703">
        <f>transport!C18</f>
        <v>0</v>
      </c>
      <c r="E50" s="703">
        <f>transport!D18</f>
        <v>31.481681971176616</v>
      </c>
      <c r="F50" s="703">
        <f>transport!E18</f>
        <v>53.861128422311168</v>
      </c>
      <c r="G50" s="703">
        <f>transport!F18</f>
        <v>0</v>
      </c>
      <c r="H50" s="703">
        <f>transport!G18</f>
        <v>22586.881416628785</v>
      </c>
      <c r="I50" s="703">
        <f>transport!H18</f>
        <v>4477.8848660435251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27158.08269634474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7.9736032789431821</v>
      </c>
      <c r="D52" s="732">
        <f t="shared" ref="D52:Q52" ca="1" si="6">SUM(D48:D51)</f>
        <v>0</v>
      </c>
      <c r="E52" s="732">
        <f t="shared" si="6"/>
        <v>31.481681971176616</v>
      </c>
      <c r="F52" s="732">
        <f t="shared" si="6"/>
        <v>53.861128422311168</v>
      </c>
      <c r="G52" s="732">
        <f t="shared" si="6"/>
        <v>0</v>
      </c>
      <c r="H52" s="732">
        <f t="shared" si="6"/>
        <v>22778.456433434003</v>
      </c>
      <c r="I52" s="732">
        <f t="shared" si="6"/>
        <v>4477.8848660435251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27349.657713149958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227.18061129181538</v>
      </c>
      <c r="D54" s="703">
        <f ca="1">+landbouw!C12</f>
        <v>0</v>
      </c>
      <c r="E54" s="703">
        <f>+landbouw!D12</f>
        <v>11.335682976601026</v>
      </c>
      <c r="F54" s="703">
        <f>+landbouw!E12</f>
        <v>8.1274255326110971</v>
      </c>
      <c r="G54" s="703">
        <f>+landbouw!F12</f>
        <v>1354.9002339139365</v>
      </c>
      <c r="H54" s="703">
        <f>+landbouw!G12</f>
        <v>0</v>
      </c>
      <c r="I54" s="703">
        <f>+landbouw!H12</f>
        <v>0</v>
      </c>
      <c r="J54" s="703">
        <f>+landbouw!I12</f>
        <v>0</v>
      </c>
      <c r="K54" s="703">
        <f>+landbouw!J12</f>
        <v>62.472617295977642</v>
      </c>
      <c r="L54" s="703">
        <f>+landbouw!K12</f>
        <v>0</v>
      </c>
      <c r="M54" s="703">
        <f>+landbouw!L12</f>
        <v>0</v>
      </c>
      <c r="N54" s="703">
        <f>+landbouw!M12</f>
        <v>0</v>
      </c>
      <c r="O54" s="703">
        <f>+landbouw!N12</f>
        <v>0</v>
      </c>
      <c r="P54" s="703">
        <f>+landbouw!O12</f>
        <v>0</v>
      </c>
      <c r="Q54" s="704">
        <f>+landbouw!P12</f>
        <v>0</v>
      </c>
      <c r="R54" s="731">
        <f ca="1">SUM(C54:Q54)</f>
        <v>1664.0165710109418</v>
      </c>
    </row>
    <row r="55" spans="1:18" ht="15" thickBot="1">
      <c r="A55" s="825" t="s">
        <v>836</v>
      </c>
      <c r="B55" s="835"/>
      <c r="C55" s="703">
        <f ca="1">C25*'EF ele_warmte'!B12</f>
        <v>108.12310918363958</v>
      </c>
      <c r="D55" s="703"/>
      <c r="E55" s="703">
        <f>E25*EF_CO2_aardgas</f>
        <v>177.18133006121531</v>
      </c>
      <c r="F55" s="703"/>
      <c r="G55" s="703"/>
      <c r="H55" s="703"/>
      <c r="I55" s="703"/>
      <c r="J55" s="703"/>
      <c r="K55" s="703"/>
      <c r="L55" s="703"/>
      <c r="M55" s="703"/>
      <c r="N55" s="703"/>
      <c r="O55" s="703"/>
      <c r="P55" s="703"/>
      <c r="Q55" s="704"/>
      <c r="R55" s="731">
        <f ca="1">SUM(C55:Q55)</f>
        <v>285.3044392448549</v>
      </c>
    </row>
    <row r="56" spans="1:18" ht="15.75" thickBot="1">
      <c r="A56" s="823" t="s">
        <v>837</v>
      </c>
      <c r="B56" s="836"/>
      <c r="C56" s="732">
        <f ca="1">SUM(C54:C55)</f>
        <v>335.30372047545495</v>
      </c>
      <c r="D56" s="732">
        <f t="shared" ref="D56:Q56" ca="1" si="7">SUM(D54:D55)</f>
        <v>0</v>
      </c>
      <c r="E56" s="732">
        <f t="shared" si="7"/>
        <v>188.51701303781633</v>
      </c>
      <c r="F56" s="732">
        <f t="shared" si="7"/>
        <v>8.1274255326110971</v>
      </c>
      <c r="G56" s="732">
        <f t="shared" si="7"/>
        <v>1354.9002339139365</v>
      </c>
      <c r="H56" s="732">
        <f t="shared" si="7"/>
        <v>0</v>
      </c>
      <c r="I56" s="732">
        <f t="shared" si="7"/>
        <v>0</v>
      </c>
      <c r="J56" s="732">
        <f t="shared" si="7"/>
        <v>0</v>
      </c>
      <c r="K56" s="732">
        <f t="shared" si="7"/>
        <v>62.472617295977642</v>
      </c>
      <c r="L56" s="732">
        <f t="shared" si="7"/>
        <v>0</v>
      </c>
      <c r="M56" s="732">
        <f t="shared" si="7"/>
        <v>0</v>
      </c>
      <c r="N56" s="732">
        <f t="shared" si="7"/>
        <v>0</v>
      </c>
      <c r="O56" s="732">
        <f t="shared" si="7"/>
        <v>0</v>
      </c>
      <c r="P56" s="732">
        <f t="shared" si="7"/>
        <v>0</v>
      </c>
      <c r="Q56" s="733">
        <f t="shared" si="7"/>
        <v>0</v>
      </c>
      <c r="R56" s="734">
        <f ca="1">SUM(R54:R55)</f>
        <v>1949.3210102557966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10981.148529314798</v>
      </c>
      <c r="D61" s="740">
        <f t="shared" ref="D61:Q61" ca="1" si="8">D46+D52+D56</f>
        <v>0</v>
      </c>
      <c r="E61" s="740">
        <f t="shared" ca="1" si="8"/>
        <v>22880.024491548131</v>
      </c>
      <c r="F61" s="740">
        <f t="shared" si="8"/>
        <v>1056.9508388952131</v>
      </c>
      <c r="G61" s="740">
        <f t="shared" ca="1" si="8"/>
        <v>7405.3617523314279</v>
      </c>
      <c r="H61" s="740">
        <f t="shared" si="8"/>
        <v>22778.456433434003</v>
      </c>
      <c r="I61" s="740">
        <f t="shared" si="8"/>
        <v>4477.8848660435251</v>
      </c>
      <c r="J61" s="740">
        <f t="shared" si="8"/>
        <v>0</v>
      </c>
      <c r="K61" s="740">
        <f t="shared" si="8"/>
        <v>2623.0581820225575</v>
      </c>
      <c r="L61" s="740">
        <f t="shared" si="8"/>
        <v>0</v>
      </c>
      <c r="M61" s="740">
        <f t="shared" ca="1" si="8"/>
        <v>0</v>
      </c>
      <c r="N61" s="740">
        <f t="shared" si="8"/>
        <v>0</v>
      </c>
      <c r="O61" s="740">
        <f t="shared" ca="1" si="8"/>
        <v>0</v>
      </c>
      <c r="P61" s="740">
        <f t="shared" si="8"/>
        <v>0</v>
      </c>
      <c r="Q61" s="740">
        <f t="shared" si="8"/>
        <v>0</v>
      </c>
      <c r="R61" s="740">
        <f ca="1">R46+R52+R56</f>
        <v>72202.885093589648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0.18650429592079068</v>
      </c>
      <c r="D63" s="781">
        <f t="shared" ca="1" si="9"/>
        <v>0</v>
      </c>
      <c r="E63" s="1024">
        <f t="shared" ca="1" si="9"/>
        <v>0.20200000000000007</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3880.3418490257632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5310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15171.428571428572</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9190.3418490257627</v>
      </c>
      <c r="C78" s="755">
        <f>SUM(C72:C77)</f>
        <v>0</v>
      </c>
      <c r="D78" s="756">
        <f t="shared" ref="D78:H78" si="10">SUM(D76:D77)</f>
        <v>0</v>
      </c>
      <c r="E78" s="756">
        <f t="shared" si="10"/>
        <v>0</v>
      </c>
      <c r="F78" s="756">
        <f t="shared" si="10"/>
        <v>0</v>
      </c>
      <c r="G78" s="756">
        <f t="shared" si="10"/>
        <v>0</v>
      </c>
      <c r="H78" s="756">
        <f t="shared" si="10"/>
        <v>0</v>
      </c>
      <c r="I78" s="756">
        <f>SUM(I76:I77)</f>
        <v>0</v>
      </c>
      <c r="J78" s="756">
        <f>SUM(J76:J77)</f>
        <v>15171.428571428572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3880.3418490257632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5310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9190.3418490257627</v>
      </c>
      <c r="C10" s="583">
        <f t="shared" ref="C10:L10" si="0">SUM(C8:C9)</f>
        <v>0</v>
      </c>
      <c r="D10" s="583">
        <f t="shared" si="0"/>
        <v>0</v>
      </c>
      <c r="E10" s="583">
        <f t="shared" si="0"/>
        <v>0</v>
      </c>
      <c r="F10" s="583">
        <f t="shared" si="0"/>
        <v>0</v>
      </c>
      <c r="G10" s="583">
        <f t="shared" si="0"/>
        <v>0</v>
      </c>
      <c r="H10" s="583">
        <f t="shared" si="0"/>
        <v>0</v>
      </c>
      <c r="I10" s="583">
        <f t="shared" si="0"/>
        <v>0</v>
      </c>
      <c r="J10" s="583">
        <f t="shared" si="0"/>
        <v>15171.428571428572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41063</v>
      </c>
      <c r="C64" s="796">
        <v>9520</v>
      </c>
      <c r="D64" s="655" t="s">
        <v>881</v>
      </c>
      <c r="E64" s="655" t="s">
        <v>882</v>
      </c>
      <c r="F64" s="655" t="s">
        <v>883</v>
      </c>
      <c r="G64" s="655" t="s">
        <v>884</v>
      </c>
      <c r="H64" s="655" t="s">
        <v>885</v>
      </c>
      <c r="I64" s="655" t="s">
        <v>886</v>
      </c>
      <c r="J64" s="795">
        <v>39234</v>
      </c>
      <c r="K64" s="795">
        <v>37408</v>
      </c>
      <c r="L64" s="655" t="s">
        <v>887</v>
      </c>
      <c r="M64" s="655">
        <v>1180</v>
      </c>
      <c r="N64" s="655">
        <v>5310</v>
      </c>
      <c r="O64" s="655">
        <v>0</v>
      </c>
      <c r="P64" s="655">
        <v>0</v>
      </c>
      <c r="Q64" s="655">
        <v>0</v>
      </c>
      <c r="R64" s="655">
        <v>15171.428571428572</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1180</v>
      </c>
      <c r="N89" s="610">
        <f t="shared" ref="N89:W89" si="5">SUM(N64:N88)</f>
        <v>5310</v>
      </c>
      <c r="O89" s="610">
        <f t="shared" si="5"/>
        <v>0</v>
      </c>
      <c r="P89" s="610">
        <f t="shared" si="5"/>
        <v>0</v>
      </c>
      <c r="Q89" s="610">
        <f t="shared" si="5"/>
        <v>0</v>
      </c>
      <c r="R89" s="610">
        <f t="shared" si="5"/>
        <v>15171.428571428572</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1180</v>
      </c>
      <c r="N91" s="610">
        <f t="shared" si="7"/>
        <v>5310</v>
      </c>
      <c r="O91" s="610">
        <f t="shared" si="7"/>
        <v>0</v>
      </c>
      <c r="P91" s="610">
        <f t="shared" si="7"/>
        <v>0</v>
      </c>
      <c r="Q91" s="610">
        <f t="shared" si="7"/>
        <v>0</v>
      </c>
      <c r="R91" s="610">
        <f t="shared" si="7"/>
        <v>15171.428571428572</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20507.328587274773</v>
      </c>
      <c r="C4" s="477">
        <f>huishoudens!C8</f>
        <v>0</v>
      </c>
      <c r="D4" s="477">
        <f>huishoudens!D8</f>
        <v>31939.120834060799</v>
      </c>
      <c r="E4" s="477">
        <f>huishoudens!E8</f>
        <v>2869.2164153485824</v>
      </c>
      <c r="F4" s="477">
        <f>huishoudens!F8</f>
        <v>16338.097699446698</v>
      </c>
      <c r="G4" s="477">
        <f>huishoudens!G8</f>
        <v>0</v>
      </c>
      <c r="H4" s="477">
        <f>huishoudens!H8</f>
        <v>0</v>
      </c>
      <c r="I4" s="477">
        <f>huishoudens!I8</f>
        <v>0</v>
      </c>
      <c r="J4" s="477">
        <f>huishoudens!J8</f>
        <v>7154.3203417143413</v>
      </c>
      <c r="K4" s="477">
        <f>huishoudens!K8</f>
        <v>0</v>
      </c>
      <c r="L4" s="477">
        <f>huishoudens!L8</f>
        <v>0</v>
      </c>
      <c r="M4" s="477">
        <f>huishoudens!M8</f>
        <v>0</v>
      </c>
      <c r="N4" s="477">
        <f>huishoudens!N8</f>
        <v>8861.433741253979</v>
      </c>
      <c r="O4" s="477">
        <f>huishoudens!O8</f>
        <v>207.92333333333335</v>
      </c>
      <c r="P4" s="478">
        <f>huishoudens!P8</f>
        <v>991.4666666666667</v>
      </c>
      <c r="Q4" s="479">
        <f>SUM(B4:P4)</f>
        <v>88868.907619099162</v>
      </c>
    </row>
    <row r="5" spans="1:17">
      <c r="A5" s="476" t="s">
        <v>156</v>
      </c>
      <c r="B5" s="477">
        <f ca="1">tertiair!B16</f>
        <v>12621.009843530534</v>
      </c>
      <c r="C5" s="477">
        <f ca="1">tertiair!C16</f>
        <v>0</v>
      </c>
      <c r="D5" s="477">
        <f ca="1">tertiair!D16</f>
        <v>6208.8008593190152</v>
      </c>
      <c r="E5" s="477">
        <f>tertiair!E16</f>
        <v>103.09966255423205</v>
      </c>
      <c r="F5" s="477">
        <f ca="1">tertiair!F16</f>
        <v>1382.3789873242854</v>
      </c>
      <c r="G5" s="477">
        <f>tertiair!G16</f>
        <v>0</v>
      </c>
      <c r="H5" s="477">
        <f>tertiair!H16</f>
        <v>0</v>
      </c>
      <c r="I5" s="477">
        <f>tertiair!I16</f>
        <v>0</v>
      </c>
      <c r="J5" s="477">
        <f>tertiair!J16</f>
        <v>3.8676112450049364E-2</v>
      </c>
      <c r="K5" s="477">
        <f>tertiair!K16</f>
        <v>0</v>
      </c>
      <c r="L5" s="477">
        <f ca="1">tertiair!L16</f>
        <v>0</v>
      </c>
      <c r="M5" s="477">
        <f>tertiair!M16</f>
        <v>0</v>
      </c>
      <c r="N5" s="477">
        <f ca="1">tertiair!N16</f>
        <v>0</v>
      </c>
      <c r="O5" s="477">
        <f>tertiair!O16</f>
        <v>4.6900000000000004</v>
      </c>
      <c r="P5" s="478">
        <f>tertiair!P16</f>
        <v>19.066666666666666</v>
      </c>
      <c r="Q5" s="476">
        <f t="shared" ref="Q5:Q14" ca="1" si="0">SUM(B5:P5)</f>
        <v>20339.084695507183</v>
      </c>
    </row>
    <row r="6" spans="1:17">
      <c r="A6" s="476" t="s">
        <v>194</v>
      </c>
      <c r="B6" s="477">
        <f>'openbare verlichting'!B8</f>
        <v>626.07899999999995</v>
      </c>
      <c r="C6" s="477"/>
      <c r="D6" s="477"/>
      <c r="E6" s="477"/>
      <c r="F6" s="477"/>
      <c r="G6" s="477"/>
      <c r="H6" s="477"/>
      <c r="I6" s="477"/>
      <c r="J6" s="477"/>
      <c r="K6" s="477"/>
      <c r="L6" s="477"/>
      <c r="M6" s="477"/>
      <c r="N6" s="477"/>
      <c r="O6" s="477"/>
      <c r="P6" s="478"/>
      <c r="Q6" s="476">
        <f t="shared" si="0"/>
        <v>626.07899999999995</v>
      </c>
    </row>
    <row r="7" spans="1:17">
      <c r="A7" s="476" t="s">
        <v>112</v>
      </c>
      <c r="B7" s="477">
        <f>landbouw!B8</f>
        <v>1218.0985438978851</v>
      </c>
      <c r="C7" s="477">
        <f>landbouw!C8</f>
        <v>0</v>
      </c>
      <c r="D7" s="477">
        <f>landbouw!D8</f>
        <v>56.117242458420918</v>
      </c>
      <c r="E7" s="477">
        <f>landbouw!E8</f>
        <v>35.803636707537869</v>
      </c>
      <c r="F7" s="477">
        <f>landbouw!F8</f>
        <v>5074.5327112881514</v>
      </c>
      <c r="G7" s="477">
        <f>landbouw!G8</f>
        <v>0</v>
      </c>
      <c r="H7" s="477">
        <f>landbouw!H8</f>
        <v>0</v>
      </c>
      <c r="I7" s="477">
        <f>landbouw!I8</f>
        <v>0</v>
      </c>
      <c r="J7" s="477">
        <f>landbouw!J8</f>
        <v>176.4763200451346</v>
      </c>
      <c r="K7" s="477">
        <f>landbouw!K8</f>
        <v>0</v>
      </c>
      <c r="L7" s="477">
        <f>landbouw!L8</f>
        <v>0</v>
      </c>
      <c r="M7" s="477">
        <f>landbouw!M8</f>
        <v>0</v>
      </c>
      <c r="N7" s="477">
        <f>landbouw!N8</f>
        <v>0</v>
      </c>
      <c r="O7" s="477">
        <f>landbouw!O8</f>
        <v>0</v>
      </c>
      <c r="P7" s="478">
        <f>landbouw!P8</f>
        <v>0</v>
      </c>
      <c r="Q7" s="476">
        <f t="shared" si="0"/>
        <v>6561.0284543971293</v>
      </c>
    </row>
    <row r="8" spans="1:17">
      <c r="A8" s="476" t="s">
        <v>635</v>
      </c>
      <c r="B8" s="477">
        <f>industrie!B18</f>
        <v>23283.79261706597</v>
      </c>
      <c r="C8" s="477">
        <f>industrie!C18</f>
        <v>0</v>
      </c>
      <c r="D8" s="477">
        <f>industrie!D18</f>
        <v>74030.423834041634</v>
      </c>
      <c r="E8" s="477">
        <f>industrie!E18</f>
        <v>1410.777688353973</v>
      </c>
      <c r="F8" s="477">
        <f>industrie!F18</f>
        <v>4940.4278765904046</v>
      </c>
      <c r="G8" s="477">
        <f>industrie!G18</f>
        <v>0</v>
      </c>
      <c r="H8" s="477">
        <f>industrie!H18</f>
        <v>0</v>
      </c>
      <c r="I8" s="477">
        <f>industrie!I18</f>
        <v>0</v>
      </c>
      <c r="J8" s="477">
        <f>industrie!J18</f>
        <v>78.93353789801084</v>
      </c>
      <c r="K8" s="477">
        <f>industrie!K18</f>
        <v>0</v>
      </c>
      <c r="L8" s="477">
        <f>industrie!L18</f>
        <v>0</v>
      </c>
      <c r="M8" s="477">
        <f>industrie!M18</f>
        <v>0</v>
      </c>
      <c r="N8" s="477">
        <f>industrie!N18</f>
        <v>5202.8417864421117</v>
      </c>
      <c r="O8" s="477">
        <f>industrie!O18</f>
        <v>0</v>
      </c>
      <c r="P8" s="478">
        <f>industrie!P18</f>
        <v>0</v>
      </c>
      <c r="Q8" s="476">
        <f t="shared" si="0"/>
        <v>108947.19734039211</v>
      </c>
    </row>
    <row r="9" spans="1:17" s="482" customFormat="1">
      <c r="A9" s="480" t="s">
        <v>561</v>
      </c>
      <c r="B9" s="481">
        <f>transport!B14</f>
        <v>42.75292019187382</v>
      </c>
      <c r="C9" s="481">
        <f>transport!C14</f>
        <v>0</v>
      </c>
      <c r="D9" s="481">
        <f>transport!D14</f>
        <v>155.84991074839908</v>
      </c>
      <c r="E9" s="481">
        <f>transport!E14</f>
        <v>237.27369349035757</v>
      </c>
      <c r="F9" s="481">
        <f>transport!F14</f>
        <v>0</v>
      </c>
      <c r="G9" s="481">
        <f>transport!G14</f>
        <v>84595.061485501064</v>
      </c>
      <c r="H9" s="481">
        <f>transport!H14</f>
        <v>17983.473357604518</v>
      </c>
      <c r="I9" s="481">
        <f>transport!I14</f>
        <v>0</v>
      </c>
      <c r="J9" s="481">
        <f>transport!J14</f>
        <v>0</v>
      </c>
      <c r="K9" s="481">
        <f>transport!K14</f>
        <v>0</v>
      </c>
      <c r="L9" s="481">
        <f>transport!L14</f>
        <v>0</v>
      </c>
      <c r="M9" s="481">
        <f>transport!M14</f>
        <v>5473.0240559320382</v>
      </c>
      <c r="N9" s="481">
        <f>transport!N14</f>
        <v>0</v>
      </c>
      <c r="O9" s="481">
        <f>transport!O14</f>
        <v>0</v>
      </c>
      <c r="P9" s="481">
        <f>transport!P14</f>
        <v>0</v>
      </c>
      <c r="Q9" s="480">
        <f>SUM(B9:P9)</f>
        <v>108487.43542346824</v>
      </c>
    </row>
    <row r="10" spans="1:17">
      <c r="A10" s="476" t="s">
        <v>551</v>
      </c>
      <c r="B10" s="477">
        <f>transport!B54</f>
        <v>0</v>
      </c>
      <c r="C10" s="477">
        <f>transport!C54</f>
        <v>0</v>
      </c>
      <c r="D10" s="477">
        <f>transport!D54</f>
        <v>0</v>
      </c>
      <c r="E10" s="477">
        <f>transport!E54</f>
        <v>0</v>
      </c>
      <c r="F10" s="477">
        <f>transport!F54</f>
        <v>0</v>
      </c>
      <c r="G10" s="477">
        <f>transport!G54</f>
        <v>717.50942623676542</v>
      </c>
      <c r="H10" s="477">
        <f>transport!H54</f>
        <v>0</v>
      </c>
      <c r="I10" s="477">
        <f>transport!I54</f>
        <v>0</v>
      </c>
      <c r="J10" s="477">
        <f>transport!J54</f>
        <v>0</v>
      </c>
      <c r="K10" s="477">
        <f>transport!K54</f>
        <v>0</v>
      </c>
      <c r="L10" s="477">
        <f>transport!L54</f>
        <v>0</v>
      </c>
      <c r="M10" s="477">
        <f>transport!M54</f>
        <v>40.751367910079509</v>
      </c>
      <c r="N10" s="477">
        <f>transport!N54</f>
        <v>0</v>
      </c>
      <c r="O10" s="477">
        <f>transport!O54</f>
        <v>0</v>
      </c>
      <c r="P10" s="478">
        <f>transport!P54</f>
        <v>0</v>
      </c>
      <c r="Q10" s="476">
        <f t="shared" si="0"/>
        <v>758.26079414684489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579.73522084209799</v>
      </c>
      <c r="C14" s="484"/>
      <c r="D14" s="484">
        <f>'SEAP template'!E25</f>
        <v>877.13529733274902</v>
      </c>
      <c r="E14" s="484"/>
      <c r="F14" s="484"/>
      <c r="G14" s="484"/>
      <c r="H14" s="484"/>
      <c r="I14" s="484"/>
      <c r="J14" s="484"/>
      <c r="K14" s="484"/>
      <c r="L14" s="484"/>
      <c r="M14" s="484"/>
      <c r="N14" s="484"/>
      <c r="O14" s="484"/>
      <c r="P14" s="485"/>
      <c r="Q14" s="476">
        <f t="shared" si="0"/>
        <v>1456.8705181748469</v>
      </c>
    </row>
    <row r="15" spans="1:17" s="486" customFormat="1">
      <c r="A15" s="1039" t="s">
        <v>555</v>
      </c>
      <c r="B15" s="987">
        <f ca="1">SUM(B4:B14)</f>
        <v>58878.79673280313</v>
      </c>
      <c r="C15" s="987">
        <f t="shared" ref="C15:Q15" ca="1" si="1">SUM(C4:C14)</f>
        <v>0</v>
      </c>
      <c r="D15" s="987">
        <f t="shared" ca="1" si="1"/>
        <v>113267.44797796101</v>
      </c>
      <c r="E15" s="987">
        <f t="shared" si="1"/>
        <v>4656.1710964546828</v>
      </c>
      <c r="F15" s="987">
        <f t="shared" ca="1" si="1"/>
        <v>27735.437274649539</v>
      </c>
      <c r="G15" s="987">
        <f t="shared" si="1"/>
        <v>85312.570911737828</v>
      </c>
      <c r="H15" s="987">
        <f t="shared" si="1"/>
        <v>17983.473357604518</v>
      </c>
      <c r="I15" s="987">
        <f t="shared" si="1"/>
        <v>0</v>
      </c>
      <c r="J15" s="987">
        <f t="shared" si="1"/>
        <v>7409.7688757699361</v>
      </c>
      <c r="K15" s="987">
        <f t="shared" si="1"/>
        <v>0</v>
      </c>
      <c r="L15" s="987">
        <f t="shared" ca="1" si="1"/>
        <v>0</v>
      </c>
      <c r="M15" s="987">
        <f t="shared" si="1"/>
        <v>5513.7754238421176</v>
      </c>
      <c r="N15" s="987">
        <f t="shared" ca="1" si="1"/>
        <v>14064.275527696091</v>
      </c>
      <c r="O15" s="987">
        <f t="shared" si="1"/>
        <v>212.61333333333334</v>
      </c>
      <c r="P15" s="987">
        <f t="shared" si="1"/>
        <v>1010.5333333333334</v>
      </c>
      <c r="Q15" s="987">
        <f t="shared" ca="1" si="1"/>
        <v>336044.86384518555</v>
      </c>
    </row>
    <row r="17" spans="1:17">
      <c r="A17" s="487" t="s">
        <v>556</v>
      </c>
      <c r="B17" s="786">
        <f ca="1">huishoudens!B10</f>
        <v>0.18650429592079068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3824.7048793859844</v>
      </c>
      <c r="C22" s="477">
        <f t="shared" ref="C22:C32" ca="1" si="3">C4*$C$17</f>
        <v>0</v>
      </c>
      <c r="D22" s="477">
        <f t="shared" ref="D22:D32" si="4">D4*$D$17</f>
        <v>6451.7024084802815</v>
      </c>
      <c r="E22" s="477">
        <f t="shared" ref="E22:E32" si="5">E4*$E$17</f>
        <v>651.31212628412823</v>
      </c>
      <c r="F22" s="477">
        <f t="shared" ref="F22:F32" si="6">F4*$F$17</f>
        <v>4362.272085752269</v>
      </c>
      <c r="G22" s="477">
        <f t="shared" ref="G22:G32" si="7">G4*$G$17</f>
        <v>0</v>
      </c>
      <c r="H22" s="477">
        <f t="shared" ref="H22:H32" si="8">H4*$H$17</f>
        <v>0</v>
      </c>
      <c r="I22" s="477">
        <f t="shared" ref="I22:I32" si="9">I4*$I$17</f>
        <v>0</v>
      </c>
      <c r="J22" s="477">
        <f t="shared" ref="J22:J32" si="10">J4*$J$17</f>
        <v>2532.6294009668768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17822.62090086954</v>
      </c>
    </row>
    <row r="23" spans="1:17">
      <c r="A23" s="476" t="s">
        <v>156</v>
      </c>
      <c r="B23" s="477">
        <f t="shared" ca="1" si="2"/>
        <v>2353.8725546770306</v>
      </c>
      <c r="C23" s="477">
        <f t="shared" ca="1" si="3"/>
        <v>0</v>
      </c>
      <c r="D23" s="477">
        <f t="shared" ca="1" si="4"/>
        <v>1254.1777735824412</v>
      </c>
      <c r="E23" s="477">
        <f t="shared" si="5"/>
        <v>23.403623399810677</v>
      </c>
      <c r="F23" s="477">
        <f t="shared" ca="1" si="6"/>
        <v>369.09518961558422</v>
      </c>
      <c r="G23" s="477">
        <f t="shared" si="7"/>
        <v>0</v>
      </c>
      <c r="H23" s="477">
        <f t="shared" si="8"/>
        <v>0</v>
      </c>
      <c r="I23" s="477">
        <f t="shared" si="9"/>
        <v>0</v>
      </c>
      <c r="J23" s="477">
        <f t="shared" si="10"/>
        <v>1.3691343807317475E-2</v>
      </c>
      <c r="K23" s="477">
        <f t="shared" si="11"/>
        <v>0</v>
      </c>
      <c r="L23" s="477">
        <f t="shared" ca="1" si="12"/>
        <v>0</v>
      </c>
      <c r="M23" s="477">
        <f t="shared" si="13"/>
        <v>0</v>
      </c>
      <c r="N23" s="477">
        <f t="shared" ca="1" si="14"/>
        <v>0</v>
      </c>
      <c r="O23" s="477">
        <f t="shared" si="15"/>
        <v>0</v>
      </c>
      <c r="P23" s="478">
        <f t="shared" si="16"/>
        <v>0</v>
      </c>
      <c r="Q23" s="476">
        <f t="shared" ref="Q23:Q32" ca="1" si="17">SUM(B23:P23)</f>
        <v>4000.5628326186743</v>
      </c>
    </row>
    <row r="24" spans="1:17">
      <c r="A24" s="476" t="s">
        <v>194</v>
      </c>
      <c r="B24" s="477">
        <f t="shared" ca="1" si="2"/>
        <v>116.7664230857927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116.7664230857927</v>
      </c>
    </row>
    <row r="25" spans="1:17">
      <c r="A25" s="476" t="s">
        <v>112</v>
      </c>
      <c r="B25" s="477">
        <f t="shared" ca="1" si="2"/>
        <v>227.18061129181538</v>
      </c>
      <c r="C25" s="477">
        <f t="shared" ca="1" si="3"/>
        <v>0</v>
      </c>
      <c r="D25" s="477">
        <f t="shared" si="4"/>
        <v>11.335682976601026</v>
      </c>
      <c r="E25" s="477">
        <f t="shared" si="5"/>
        <v>8.1274255326110971</v>
      </c>
      <c r="F25" s="477">
        <f t="shared" si="6"/>
        <v>1354.9002339139365</v>
      </c>
      <c r="G25" s="477">
        <f t="shared" si="7"/>
        <v>0</v>
      </c>
      <c r="H25" s="477">
        <f t="shared" si="8"/>
        <v>0</v>
      </c>
      <c r="I25" s="477">
        <f t="shared" si="9"/>
        <v>0</v>
      </c>
      <c r="J25" s="477">
        <f t="shared" si="10"/>
        <v>62.472617295977642</v>
      </c>
      <c r="K25" s="477">
        <f t="shared" si="11"/>
        <v>0</v>
      </c>
      <c r="L25" s="477">
        <f t="shared" si="12"/>
        <v>0</v>
      </c>
      <c r="M25" s="477">
        <f t="shared" si="13"/>
        <v>0</v>
      </c>
      <c r="N25" s="477">
        <f t="shared" si="14"/>
        <v>0</v>
      </c>
      <c r="O25" s="477">
        <f t="shared" si="15"/>
        <v>0</v>
      </c>
      <c r="P25" s="478">
        <f t="shared" si="16"/>
        <v>0</v>
      </c>
      <c r="Q25" s="476">
        <f t="shared" ca="1" si="17"/>
        <v>1664.0165710109418</v>
      </c>
    </row>
    <row r="26" spans="1:17">
      <c r="A26" s="476" t="s">
        <v>635</v>
      </c>
      <c r="B26" s="477">
        <f t="shared" ca="1" si="2"/>
        <v>4342.5273484115933</v>
      </c>
      <c r="C26" s="477">
        <f t="shared" ca="1" si="3"/>
        <v>0</v>
      </c>
      <c r="D26" s="477">
        <f t="shared" si="4"/>
        <v>14954.145614476411</v>
      </c>
      <c r="E26" s="477">
        <f t="shared" si="5"/>
        <v>320.24653525635188</v>
      </c>
      <c r="F26" s="477">
        <f t="shared" si="6"/>
        <v>1319.0942430496382</v>
      </c>
      <c r="G26" s="477">
        <f t="shared" si="7"/>
        <v>0</v>
      </c>
      <c r="H26" s="477">
        <f t="shared" si="8"/>
        <v>0</v>
      </c>
      <c r="I26" s="477">
        <f t="shared" si="9"/>
        <v>0</v>
      </c>
      <c r="J26" s="477">
        <f t="shared" si="10"/>
        <v>27.942472415895836</v>
      </c>
      <c r="K26" s="477">
        <f t="shared" si="11"/>
        <v>0</v>
      </c>
      <c r="L26" s="477">
        <f t="shared" si="12"/>
        <v>0</v>
      </c>
      <c r="M26" s="477">
        <f t="shared" si="13"/>
        <v>0</v>
      </c>
      <c r="N26" s="477">
        <f t="shared" si="14"/>
        <v>0</v>
      </c>
      <c r="O26" s="477">
        <f t="shared" si="15"/>
        <v>0</v>
      </c>
      <c r="P26" s="478">
        <f t="shared" si="16"/>
        <v>0</v>
      </c>
      <c r="Q26" s="476">
        <f t="shared" ca="1" si="17"/>
        <v>20963.956213609894</v>
      </c>
    </row>
    <row r="27" spans="1:17" s="482" customFormat="1">
      <c r="A27" s="480" t="s">
        <v>561</v>
      </c>
      <c r="B27" s="780">
        <f t="shared" ca="1" si="2"/>
        <v>7.9736032789431821</v>
      </c>
      <c r="C27" s="481">
        <f t="shared" ca="1" si="3"/>
        <v>0</v>
      </c>
      <c r="D27" s="481">
        <f t="shared" si="4"/>
        <v>31.481681971176616</v>
      </c>
      <c r="E27" s="481">
        <f t="shared" si="5"/>
        <v>53.861128422311168</v>
      </c>
      <c r="F27" s="481">
        <f t="shared" si="6"/>
        <v>0</v>
      </c>
      <c r="G27" s="481">
        <f t="shared" si="7"/>
        <v>22586.881416628785</v>
      </c>
      <c r="H27" s="481">
        <f t="shared" si="8"/>
        <v>4477.8848660435251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27158.08269634474</v>
      </c>
    </row>
    <row r="28" spans="1:17">
      <c r="A28" s="476" t="s">
        <v>551</v>
      </c>
      <c r="B28" s="477">
        <f t="shared" ca="1" si="2"/>
        <v>0</v>
      </c>
      <c r="C28" s="477">
        <f t="shared" ca="1" si="3"/>
        <v>0</v>
      </c>
      <c r="D28" s="477">
        <f t="shared" si="4"/>
        <v>0</v>
      </c>
      <c r="E28" s="477">
        <f t="shared" si="5"/>
        <v>0</v>
      </c>
      <c r="F28" s="477">
        <f t="shared" si="6"/>
        <v>0</v>
      </c>
      <c r="G28" s="477">
        <f t="shared" si="7"/>
        <v>191.57501680521636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191.57501680521636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108.12310918363958</v>
      </c>
      <c r="C32" s="477">
        <f t="shared" ca="1" si="3"/>
        <v>0</v>
      </c>
      <c r="D32" s="477">
        <f t="shared" si="4"/>
        <v>177.18133006121531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285.3044392448549</v>
      </c>
    </row>
    <row r="33" spans="1:17" s="486" customFormat="1">
      <c r="A33" s="1039" t="s">
        <v>555</v>
      </c>
      <c r="B33" s="987">
        <f ca="1">SUM(B22:B32)</f>
        <v>10981.1485293148</v>
      </c>
      <c r="C33" s="987">
        <f t="shared" ref="C33:Q33" ca="1" si="18">SUM(C22:C32)</f>
        <v>0</v>
      </c>
      <c r="D33" s="987">
        <f t="shared" ca="1" si="18"/>
        <v>22880.024491548127</v>
      </c>
      <c r="E33" s="987">
        <f t="shared" si="18"/>
        <v>1056.9508388952131</v>
      </c>
      <c r="F33" s="987">
        <f t="shared" ca="1" si="18"/>
        <v>7405.3617523314279</v>
      </c>
      <c r="G33" s="987">
        <f t="shared" si="18"/>
        <v>22778.456433434003</v>
      </c>
      <c r="H33" s="987">
        <f t="shared" si="18"/>
        <v>4477.8848660435251</v>
      </c>
      <c r="I33" s="987">
        <f t="shared" si="18"/>
        <v>0</v>
      </c>
      <c r="J33" s="987">
        <f t="shared" si="18"/>
        <v>2623.0581820225575</v>
      </c>
      <c r="K33" s="987">
        <f t="shared" si="18"/>
        <v>0</v>
      </c>
      <c r="L33" s="987">
        <f t="shared" ca="1" si="18"/>
        <v>0</v>
      </c>
      <c r="M33" s="987">
        <f t="shared" si="18"/>
        <v>0</v>
      </c>
      <c r="N33" s="987">
        <f t="shared" ca="1" si="18"/>
        <v>0</v>
      </c>
      <c r="O33" s="987">
        <f t="shared" si="18"/>
        <v>0</v>
      </c>
      <c r="P33" s="987">
        <f t="shared" si="18"/>
        <v>0</v>
      </c>
      <c r="Q33" s="987">
        <f t="shared" ca="1" si="18"/>
        <v>72202.885093589648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3880.3418490257632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5310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15171.428571428572</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9190.3418490257627</v>
      </c>
      <c r="C10" s="1060">
        <f>SUM(C4:C9)</f>
        <v>0</v>
      </c>
      <c r="D10" s="1060">
        <f t="shared" ref="D10:H10" si="0">SUM(D8:D9)</f>
        <v>0</v>
      </c>
      <c r="E10" s="1060">
        <f t="shared" si="0"/>
        <v>0</v>
      </c>
      <c r="F10" s="1060">
        <f t="shared" si="0"/>
        <v>0</v>
      </c>
      <c r="G10" s="1060">
        <f t="shared" si="0"/>
        <v>0</v>
      </c>
      <c r="H10" s="1060">
        <f t="shared" si="0"/>
        <v>0</v>
      </c>
      <c r="I10" s="1060">
        <f>SUM(I8:I9)</f>
        <v>0</v>
      </c>
      <c r="J10" s="1060">
        <f>SUM(J8:J9)</f>
        <v>15171.428571428572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0.18650429592079068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0.18650429592079068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2019-08-12T08:34:12Z</dcterms:modified>
</cp:coreProperties>
</file>