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Q14" i="48" l="1"/>
  <c r="K78" i="14"/>
  <c r="K8" i="61"/>
  <c r="K10" s="1"/>
  <c r="L20" i="18"/>
  <c r="O77" i="14"/>
  <c r="O9" i="61" s="1"/>
  <c r="O10" s="1"/>
  <c r="N77" i="14"/>
  <c r="E89"/>
  <c r="E19" i="61" s="1"/>
  <c r="E20" s="1"/>
  <c r="P27" i="48"/>
  <c r="B10" i="18"/>
  <c r="M77" i="14"/>
  <c r="M9" i="61" s="1"/>
  <c r="H9" i="18"/>
  <c r="O9" s="1"/>
  <c r="G10" i="61"/>
  <c r="O31" i="48"/>
  <c r="P31"/>
  <c r="L78" i="14"/>
  <c r="L8" i="61"/>
  <c r="L10" s="1"/>
  <c r="E18"/>
  <c r="L90" i="14"/>
  <c r="L18" i="61"/>
  <c r="L20" s="1"/>
  <c r="C98" i="18"/>
  <c r="N20" i="61"/>
  <c r="K90" i="14"/>
  <c r="J22"/>
  <c r="P22"/>
  <c r="E10" i="61"/>
  <c r="B17" i="18"/>
  <c r="B20" s="1"/>
  <c r="F13" i="15"/>
  <c r="O22" i="14"/>
  <c r="G77"/>
  <c r="G9" i="61" s="1"/>
  <c r="H20"/>
  <c r="P25" i="48"/>
  <c r="I77" i="14"/>
  <c r="I9" i="61" s="1"/>
  <c r="L13" i="15"/>
  <c r="B13"/>
  <c r="H90" i="14"/>
  <c r="N13" i="15"/>
  <c r="F77" i="14"/>
  <c r="F9" i="61" s="1"/>
  <c r="I101" i="18"/>
  <c r="H8" s="1"/>
  <c r="E101"/>
  <c r="E8" s="1"/>
  <c r="G101"/>
  <c r="F101"/>
  <c r="H101"/>
  <c r="D101"/>
  <c r="C101"/>
  <c r="B101"/>
  <c r="C8" s="1"/>
  <c r="I102"/>
  <c r="H17" s="1"/>
  <c r="E102"/>
  <c r="E17" s="1"/>
  <c r="C102"/>
  <c r="B102"/>
  <c r="C17" s="1"/>
  <c r="H102"/>
  <c r="D102"/>
  <c r="G102"/>
  <c r="F102"/>
  <c r="N90" i="14"/>
  <c r="O18" i="18"/>
  <c r="F20"/>
  <c r="D77" i="14"/>
  <c r="D9" i="61" s="1"/>
  <c r="H77" i="14"/>
  <c r="G90"/>
  <c r="O88"/>
  <c r="G20" i="18"/>
  <c r="K20"/>
  <c r="O19"/>
  <c r="D10"/>
  <c r="Q89" i="14"/>
  <c r="P19" i="61" s="1"/>
  <c r="O29" i="48"/>
  <c r="O27"/>
  <c r="P29"/>
  <c r="P32"/>
  <c r="O24"/>
  <c r="P24"/>
  <c r="P30"/>
  <c r="G78" i="14"/>
  <c r="R9"/>
  <c r="D22"/>
  <c r="E55"/>
  <c r="R25"/>
  <c r="E78"/>
  <c r="O90" l="1"/>
  <c r="O18" i="61"/>
  <c r="O20" s="1"/>
  <c r="N78" i="14"/>
  <c r="N9" i="61"/>
  <c r="N10" s="1"/>
  <c r="C89" i="14"/>
  <c r="C19" i="61" s="1"/>
  <c r="I8" i="18"/>
  <c r="E90" i="14"/>
  <c r="H78"/>
  <c r="H9" i="61"/>
  <c r="H10" s="1"/>
  <c r="B89" i="14"/>
  <c r="B19" i="61" s="1"/>
  <c r="O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7"/>
  <c r="I29"/>
  <c r="I32"/>
  <c r="I31"/>
  <c r="I24"/>
  <c r="I28"/>
  <c r="I30"/>
  <c r="I22"/>
  <c r="I26"/>
  <c r="E11" i="14"/>
  <c r="D4" i="48"/>
  <c r="D22" s="1"/>
  <c r="H29"/>
  <c r="H25"/>
  <c r="H32"/>
  <c r="H24"/>
  <c r="H26"/>
  <c r="H28"/>
  <c r="H22"/>
  <c r="H30"/>
  <c r="H23"/>
  <c r="C4"/>
  <c r="D11" i="14"/>
  <c r="F30" i="48"/>
  <c r="F29"/>
  <c r="F32"/>
  <c r="F24"/>
  <c r="F31"/>
  <c r="F28"/>
  <c r="F27"/>
  <c r="N31"/>
  <c r="N32"/>
  <c r="N24"/>
  <c r="N30"/>
  <c r="N28"/>
  <c r="N27"/>
  <c r="N29"/>
  <c r="E31"/>
  <c r="E29"/>
  <c r="E24"/>
  <c r="E30"/>
  <c r="E28"/>
  <c r="E32"/>
  <c r="M29"/>
  <c r="M30"/>
  <c r="M32"/>
  <c r="M25"/>
  <c r="M24"/>
  <c r="M22"/>
  <c r="M26"/>
  <c r="M23"/>
  <c r="L29"/>
  <c r="L32"/>
  <c r="L24"/>
  <c r="L22"/>
  <c r="L27"/>
  <c r="L31"/>
  <c r="L30"/>
  <c r="L28"/>
  <c r="K32"/>
  <c r="K24"/>
  <c r="K27"/>
  <c r="K22"/>
  <c r="K29"/>
  <c r="K25"/>
  <c r="K28"/>
  <c r="K30"/>
  <c r="K31"/>
  <c r="K26"/>
  <c r="C24" i="14"/>
  <c r="C26" s="1"/>
  <c r="B7" i="48"/>
  <c r="J15" i="16"/>
  <c r="P11" i="14"/>
  <c r="O4" i="48"/>
  <c r="G23"/>
  <c r="G30"/>
  <c r="G32"/>
  <c r="G29"/>
  <c r="G25"/>
  <c r="G26"/>
  <c r="G22"/>
  <c r="G24"/>
  <c r="B4"/>
  <c r="C11" i="14"/>
  <c r="B10" i="48"/>
  <c r="C19" i="14"/>
  <c r="L10"/>
  <c r="L16" s="1"/>
  <c r="L27" s="1"/>
  <c r="K5" i="48"/>
  <c r="D30"/>
  <c r="D28"/>
  <c r="D29"/>
  <c r="D31"/>
  <c r="D24"/>
  <c r="D32"/>
  <c r="P5"/>
  <c r="P23" s="1"/>
  <c r="Q10" i="14"/>
  <c r="J32" i="48"/>
  <c r="J24"/>
  <c r="J31"/>
  <c r="J30"/>
  <c r="J27"/>
  <c r="J29"/>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O22"/>
  <c r="E9"/>
  <c r="E27" s="1"/>
  <c r="F20" i="14"/>
  <c r="F22" s="1"/>
  <c r="Q13"/>
  <c r="Q16" s="1"/>
  <c r="Q27" s="1"/>
  <c r="P8" i="48"/>
  <c r="P26" s="1"/>
  <c r="E20" i="14"/>
  <c r="E22" s="1"/>
  <c r="D9" i="48"/>
  <c r="D27" s="1"/>
  <c r="P10" i="14"/>
  <c r="O5" i="48"/>
  <c r="O23" s="1"/>
  <c r="H18" i="14"/>
  <c r="G13" i="48"/>
  <c r="G31" s="1"/>
  <c r="K23"/>
  <c r="K33" s="1"/>
  <c r="K15"/>
  <c r="B9"/>
  <c r="C20" i="14"/>
  <c r="K24"/>
  <c r="K26" s="1"/>
  <c r="J7" i="48"/>
  <c r="J25" s="1"/>
  <c r="G11" i="14"/>
  <c r="F4" i="48"/>
  <c r="F22" s="1"/>
  <c r="I5"/>
  <c r="J10" i="14"/>
  <c r="J16" s="1"/>
  <c r="J27" s="1"/>
  <c r="J63" s="1"/>
  <c r="C22"/>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E4"/>
  <c r="F11" i="14"/>
  <c r="P13"/>
  <c r="P16" s="1"/>
  <c r="P27" s="1"/>
  <c r="O8" i="48"/>
  <c r="J4"/>
  <c r="K11" i="14"/>
  <c r="O11"/>
  <c r="N4" i="48"/>
  <c r="N22" s="1"/>
  <c r="I15"/>
  <c r="I23"/>
  <c r="I33" s="1"/>
  <c r="Q63" i="14"/>
  <c r="M14" i="22"/>
  <c r="H14"/>
  <c r="I20" i="14" s="1"/>
  <c r="I22" s="1"/>
  <c r="I27" s="1"/>
  <c r="H19"/>
  <c r="G10" i="48"/>
  <c r="E7"/>
  <c r="E25" s="1"/>
  <c r="F24" i="14"/>
  <c r="F26"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5" i="48"/>
  <c r="E23" s="1"/>
  <c r="F10" i="14"/>
  <c r="R19"/>
  <c r="O26" i="48"/>
  <c r="O33" s="1"/>
  <c r="O15"/>
  <c r="K10" i="14"/>
  <c r="J5" i="48"/>
  <c r="J23" s="1"/>
  <c r="E22"/>
  <c r="Q4"/>
  <c r="G28"/>
  <c r="Q10"/>
  <c r="J22"/>
  <c r="R11" i="14"/>
  <c r="Q7" i="48"/>
  <c r="N52" i="14"/>
  <c r="N61" s="1"/>
  <c r="M15" i="48"/>
  <c r="M27"/>
  <c r="M33" s="1"/>
  <c r="Q9"/>
  <c r="H15"/>
  <c r="H27"/>
  <c r="H33" s="1"/>
  <c r="N63" i="14"/>
  <c r="R24"/>
  <c r="R26" s="1"/>
  <c r="N18" i="16"/>
  <c r="E20" i="15"/>
  <c r="F40" i="14" s="1"/>
  <c r="F18" i="16"/>
  <c r="J18"/>
  <c r="E18"/>
  <c r="G18" i="22"/>
  <c r="H50" i="14" s="1"/>
  <c r="H52" s="1"/>
  <c r="H61" s="1"/>
  <c r="H18" i="22"/>
  <c r="I50" i="14" s="1"/>
  <c r="I52" s="1"/>
  <c r="I61" s="1"/>
  <c r="I63" s="1"/>
  <c r="R22" l="1"/>
  <c r="J8" i="48"/>
  <c r="K13" i="14"/>
  <c r="K16" s="1"/>
  <c r="K27" s="1"/>
  <c r="K63" s="1"/>
  <c r="F13"/>
  <c r="E8" i="48"/>
  <c r="H63" i="14"/>
  <c r="G27" i="48"/>
  <c r="G33" s="1"/>
  <c r="G15"/>
  <c r="F16" i="14"/>
  <c r="F27" s="1"/>
  <c r="R20"/>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<sst xmlns="http://schemas.openxmlformats.org/spreadsheetml/2006/main" count="2392" uniqueCount="888">
  <si>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</si>
  <si>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</si>
  <si>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</si>
  <si>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</si>
  <si>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</si>
  <si>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</si>
  <si>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</si>
  <si>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</si>
  <si>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</si>
  <si>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</si>
  <si>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</si>
  <si>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</si>
  <si>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</si>
  <si>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</si>
  <si>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</si>
  <si>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</si>
  <si>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</si>
  <si>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</si>
  <si>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</si>
  <si>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</si>
  <si>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</si>
  <si>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</si>
  <si>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</si>
  <si>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</si>
  <si>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</si>
  <si>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</si>
  <si>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</si>
  <si>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</si>
  <si>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</si>
  <si>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</si>
  <si>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</si>
  <si>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</si>
  <si>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</si>
  <si>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</si>
  <si>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</si>
  <si>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</si>
  <si>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</si>
  <si>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</si>
  <si>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</si>
  <si>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</si>
  <si>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</si>
  <si>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</si>
  <si>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</si>
  <si>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</si>
  <si>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</si>
  <si>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</si>
  <si>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</si>
  <si>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</si>
  <si>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</si>
  <si>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</si>
  <si>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</si>
  <si>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</si>
  <si>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</si>
  <si>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</si>
  <si>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</si>
  <si>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</si>
  <si>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</si>
  <si>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</si>
  <si>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</si>
  <si>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</si>
  <si>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</si>
  <si>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</si>
  <si>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</si>
  <si>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</si>
  <si>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</si>
  <si>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</si>
  <si>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</si>
  <si>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</si>
  <si>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</si>
  <si>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</si>
  <si>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</si>
  <si>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</si>
  <si>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</si>
  <si>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</si>
  <si>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</si>
  <si>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</si>
  <si>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</si>
  <si>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</si>
  <si>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</si>
  <si>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</si>
  <si>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</si>
  <si>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</si>
  <si>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</si>
  <si>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</si>
  <si>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</si>
  <si>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</si>
  <si>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</si>
  <si>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</si>
  <si>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</si>
  <si>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</si>
  <si>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</si>
  <si>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</si>
  <si>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</si>
  <si>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</si>
  <si>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</si>
  <si>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</si>
  <si>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</si>
  <si>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</si>
  <si>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</si>
  <si>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</si>
  <si>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</si>
  <si>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</si>
  <si>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</si>
  <si>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</si>
  <si>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</si>
  <si>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</si>
  <si>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</si>
  <si>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</si>
  <si>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</si>
  <si>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</si>
  <si>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</si>
  <si>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</si>
  <si>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</si>
  <si>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</si>
  <si>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</si>
  <si>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</si>
  <si>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</si>
  <si>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</si>
  <si>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</si>
  <si>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</si>
  <si>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</si>
  <si>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</si>
  <si>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</si>
  <si>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</si>
  <si>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</si>
  <si>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</si>
  <si>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</si>
  <si>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</si>
  <si>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</si>
  <si>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</si>
  <si>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</si>
  <si>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</si>
  <si>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</si>
  <si>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</si>
  <si>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</si>
  <si>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</si>
  <si>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</si>
  <si>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</si>
  <si>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</si>
  <si>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</si>
  <si>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</si>
  <si>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</si>
  <si>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</si>
  <si>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</si>
  <si>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</si>
  <si>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</si>
  <si>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</si>
  <si>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</si>
  <si>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</si>
  <si>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</si>
  <si>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</si>
  <si>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</si>
  <si>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</si>
  <si>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</si>
  <si>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</si>
  <si>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</si>
  <si>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</si>
  <si>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</si>
  <si>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</si>
  <si>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</si>
  <si>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</si>
  <si>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</si>
  <si>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</si>
  <si>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</si>
  <si>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</si>
  <si>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</si>
  <si>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</si>
  <si>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</si>
  <si>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</si>
  <si>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</si>
  <si>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</si>
  <si>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</si>
  <si>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</si>
  <si>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</si>
  <si>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</si>
  <si>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</si>
  <si>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</si>
  <si>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</si>
  <si>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</si>
  <si>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</si>
  <si>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</si>
  <si>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</si>
  <si>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</si>
  <si>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</si>
  <si>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</si>
  <si>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</si>
  <si>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</si>
  <si>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</si>
  <si>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</si>
  <si>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</si>
  <si>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</si>
  <si>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</si>
  <si>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</si>
  <si>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</si>
  <si>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</si>
  <si>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</si>
  <si>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</si>
  <si>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</si>
  <si>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</si>
  <si>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</si>
  <si>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</si>
  <si>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</si>
  <si>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</si>
  <si>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</si>
  <si>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</si>
  <si>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</si>
  <si>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</si>
  <si>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</si>
  <si>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</si>
  <si>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</si>
  <si>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</si>
  <si>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</si>
  <si>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</si>
  <si>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</si>
  <si>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</si>
  <si>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</si>
  <si>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</si>
  <si>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</si>
  <si>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</si>
  <si>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</si>
  <si>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</si>
  <si>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</si>
  <si>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</si>
  <si>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</si>
  <si>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</si>
  <si>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</si>
  <si>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</si>
  <si>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</si>
  <si>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</si>
  <si>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</si>
  <si>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</si>
  <si>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</si>
  <si>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</si>
  <si>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</si>
  <si>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</si>
  <si>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</si>
  <si>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</si>
  <si>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</si>
  <si>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</si>
  <si>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</si>
  <si>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</si>
  <si>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</si>
  <si>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</si>
  <si>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</si>
  <si>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</si>
  <si>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</si>
  <si>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</si>
  <si>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</si>
  <si>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</si>
  <si>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</si>
  <si>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</si>
  <si>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</si>
  <si>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</si>
  <si>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</si>
  <si>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</si>
  <si>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</si>
  <si>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</si>
  <si>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</si>
  <si>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</si>
  <si>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</si>
  <si>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</si>
  <si>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</si>
  <si>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</si>
  <si>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</si>
  <si>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</si>
  <si>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</si>
  <si>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</si>
  <si>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</si>
  <si>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</si>
  <si>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</si>
  <si>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</si>
  <si>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</si>
  <si>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</si>
  <si>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</si>
  <si>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</si>
  <si>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</si>
  <si>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</si>
  <si>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</si>
  <si>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</si>
  <si>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</si>
  <si>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</si>
  <si>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</si>
  <si>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</si>
  <si>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</si>
  <si>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</si>
  <si>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</si>
  <si>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</si>
  <si>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</si>
  <si>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</si>
  <si>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</si>
  <si>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</si>
  <si>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</si>
  <si>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</si>
  <si>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</si>
  <si>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</si>
  <si>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</si>
  <si>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</si>
  <si>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</si>
  <si>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</si>
  <si>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</si>
  <si>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</si>
  <si>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</si>
  <si>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</si>
  <si>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</si>
  <si>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</si>
  <si>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</si>
  <si>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</si>
  <si>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</si>
  <si>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</si>
  <si>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</si>
  <si>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</si>
  <si>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</si>
  <si>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</si>
  <si>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</si>
  <si>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</si>
  <si>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</si>
  <si>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</si>
  <si>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</si>
  <si>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</si>
  <si>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</si>
  <si>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</si>
  <si>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</si>
  <si>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</si>
  <si>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</si>
  <si>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</si>
  <si>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</si>
  <si>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</si>
  <si>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</si>
  <si>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</si>
  <si>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</si>
  <si>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</si>
  <si>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</si>
  <si>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</si>
  <si>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</si>
  <si>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</si>
  <si>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</si>
  <si>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</si>
  <si>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</si>
  <si>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</si>
  <si>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</si>
  <si>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</si>
  <si>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</si>
  <si>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</si>
  <si>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</si>
  <si>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</si>
  <si>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</si>
  <si>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</si>
  <si>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</si>
  <si>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</si>
  <si>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</si>
  <si>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</si>
  <si>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</si>
  <si>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</si>
  <si>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</si>
  <si>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</si>
  <si>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</si>
  <si>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</si>
  <si>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</si>
  <si>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</si>
  <si>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</si>
  <si>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</si>
  <si>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</si>
  <si>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</si>
  <si>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</si>
  <si>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</si>
  <si>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</si>
  <si>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</si>
  <si>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</si>
  <si>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</si>
  <si>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</si>
  <si>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</si>
  <si>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</si>
  <si>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</si>
  <si>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</si>
  <si>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</si>
  <si>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</si>
  <si>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</si>
  <si>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</si>
  <si>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</si>
  <si>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</si>
  <si>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</si>
  <si>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</si>
  <si>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</si>
  <si>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</si>
  <si>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</si>
  <si>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</si>
  <si>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</si>
  <si>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</si>
  <si>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</si>
  <si>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</si>
  <si>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</si>
  <si>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</si>
  <si>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</si>
  <si>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</si>
  <si>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</si>
  <si>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</si>
  <si>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</si>
  <si>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</si>
  <si>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</si>
  <si>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</si>
  <si>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</si>
  <si>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</si>
  <si>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</si>
  <si>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</si>
  <si>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</si>
  <si>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</si>
  <si>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</si>
  <si>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</si>
  <si>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</si>
  <si>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</si>
  <si>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</si>
  <si>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</si>
  <si>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</si>
  <si>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</si>
  <si>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</si>
  <si>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</si>
  <si>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</si>
  <si>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</si>
  <si>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</si>
  <si>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</si>
  <si>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</si>
  <si>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</si>
  <si>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</si>
  <si>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</si>
  <si>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</si>
  <si>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</si>
  <si>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</si>
  <si>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</si>
  <si>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</si>
  <si>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</si>
  <si>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</si>
  <si>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</si>
  <si>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</si>
  <si>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</si>
  <si>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</si>
  <si>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</si>
  <si>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</si>
  <si>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</si>
  <si>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</si>
  <si>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</si>
  <si>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</si>
  <si>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</si>
  <si>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</si>
  <si>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</si>
  <si>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</si>
  <si>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</si>
  <si>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</si>
  <si>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</si>
  <si>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</si>
  <si>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</si>
  <si>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</si>
  <si>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</si>
  <si>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</si>
  <si>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</si>
  <si>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</si>
  <si>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</si>
  <si>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</si>
  <si>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</si>
  <si>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</si>
  <si>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</si>
  <si>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</si>
  <si>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</si>
  <si>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</si>
  <si>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</si>
  <si>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</si>
  <si>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</si>
  <si>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</si>
  <si>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</si>
  <si>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</si>
  <si>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</si>
  <si>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</si>
  <si>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</si>
  <si>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</si>
  <si>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</si>
  <si>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</si>
  <si>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</si>
  <si>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</si>
  <si>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</si>
  <si>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</si>
  <si>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</si>
  <si>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</si>
  <si>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</si>
  <si>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</si>
  <si>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</si>
  <si>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</si>
  <si>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</si>
  <si>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</si>
  <si>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</si>
  <si>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</si>
  <si>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</si>
  <si>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</si>
  <si>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</si>
  <si>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</si>
  <si>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</si>
  <si>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</si>
  <si>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</si>
  <si>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</si>
  <si>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</si>
  <si>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</si>
  <si>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</si>
  <si>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</si>
  <si>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</si>
  <si>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</si>
  <si>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</si>
  <si>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</si>
  <si>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</si>
  <si>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</si>
  <si>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</si>
  <si>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</si>
  <si>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</si>
  <si>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</si>
  <si>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</si>
  <si>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</si>
  <si>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</si>
  <si>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</si>
  <si>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</si>
  <si>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</si>
  <si>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</si>
  <si>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</si>
  <si>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</si>
  <si>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</si>
  <si>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</si>
  <si>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</si>
  <si>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</si>
  <si>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</si>
  <si>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</si>
  <si>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</si>
  <si>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</si>
  <si>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</si>
  <si>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</si>
  <si>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</si>
  <si>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</si>
  <si>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</si>
  <si>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</si>
  <si>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</si>
  <si>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</si>
  <si>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</si>
  <si>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</si>
  <si>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</si>
  <si>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</si>
  <si>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</si>
  <si>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</si>
  <si>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</si>
  <si>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</si>
  <si>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</si>
  <si>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</si>
  <si>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</si>
  <si>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</si>
  <si>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</si>
  <si>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</si>
  <si>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</si>
  <si>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</si>
  <si>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</si>
  <si>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</si>
  <si>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</si>
  <si>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</si>
  <si>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</si>
  <si>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</si>
  <si>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</si>
  <si>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</si>
  <si>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</si>
  <si>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</si>
  <si>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</si>
  <si>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</si>
  <si>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</si>
  <si>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</si>
  <si>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</si>
  <si>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</si>
  <si>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</si>
  <si>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</si>
  <si>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</si>
  <si>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</si>
  <si>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</si>
  <si>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</si>
  <si>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</si>
  <si>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</si>
  <si>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</si>
  <si>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</si>
  <si>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</si>
  <si>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</si>
  <si>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</si>
  <si>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</si>
  <si>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</si>
  <si>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</si>
  <si>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</si>
  <si>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</si>
  <si>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</si>
  <si>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</si>
  <si>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</si>
  <si>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</si>
  <si>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</si>
  <si>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</si>
  <si>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</si>
  <si>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</si>
  <si>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</si>
  <si>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</si>
  <si>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</si>
  <si>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</si>
  <si>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</si>
  <si>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</si>
  <si>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</si>
  <si>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</si>
  <si>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</si>
  <si>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</si>
  <si>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</si>
  <si>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</si>
  <si>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</si>
  <si>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</si>
  <si>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</si>
  <si>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</si>
  <si>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</si>
  <si>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</si>
  <si>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</si>
  <si>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</si>
  <si>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</si>
  <si>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</si>
  <si>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</si>
  <si>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</si>
  <si>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</si>
  <si>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</si>
  <si>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</si>
  <si>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</si>
  <si>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</si>
  <si>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</si>
  <si>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</si>
  <si>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</si>
  <si>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</si>
  <si>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</si>
  <si>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</si>
  <si>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</si>
  <si>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</si>
  <si>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</si>
  <si>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</si>
  <si>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</si>
  <si>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</si>
  <si>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</si>
  <si>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</si>
  <si>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</si>
  <si>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</si>
  <si>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</si>
  <si>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</si>
  <si>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</si>
  <si>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</si>
  <si>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</si>
  <si>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</si>
  <si>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</si>
  <si>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</si>
  <si>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</si>
  <si>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</si>
  <si>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</si>
  <si>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</si>
  <si>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</si>
  <si>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</si>
  <si>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</si>
  <si>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</si>
  <si>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</si>
  <si>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</si>
  <si>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</si>
  <si>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</si>
  <si>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</si>
  <si>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</si>
  <si>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</si>
  <si>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</si>
  <si>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</si>
  <si>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</si>
  <si>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</si>
  <si>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</si>
  <si>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</si>
  <si>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</si>
  <si>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</si>
  <si>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</si>
  <si>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</si>
  <si>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</si>
  <si>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</si>
  <si>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</si>
  <si>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</si>
  <si>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</si>
  <si>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</si>
  <si>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</si>
  <si>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</si>
  <si>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</si>
  <si>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</si>
  <si>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</si>
  <si>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</si>
  <si>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</si>
  <si>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</si>
  <si>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</si>
  <si>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</si>
  <si>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</si>
  <si>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</si>
  <si>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</si>
  <si>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</si>
  <si>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</si>
  <si>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</si>
  <si>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</si>
  <si>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</si>
  <si>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</si>
  <si>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</si>
  <si>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</si>
  <si>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</si>
  <si>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</si>
  <si>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</si>
  <si>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</si>
  <si>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</si>
  <si>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</si>
  <si>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</si>
  <si>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</si>
  <si>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</si>
  <si>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</si>
  <si>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</si>
  <si>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</si>
  <si>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</si>
  <si>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</si>
  <si>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</si>
  <si>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</si>
  <si>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</si>
  <si>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</si>
  <si>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</si>
  <si>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</si>
  <si>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</si>
  <si>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</si>
  <si>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</si>
  <si>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</si>
  <si>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</si>
  <si>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</si>
  <si>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</si>
  <si>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</si>
  <si>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</si>
  <si>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</si>
  <si>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</si>
  <si>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</si>
  <si>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</si>
  <si>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</si>
  <si>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</si>
  <si>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</si>
  <si>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</si>
  <si>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</si>
  <si>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</si>
  <si>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</si>
  <si>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</si>
  <si>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</si>
  <si>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</si>
  <si>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</si>
  <si>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</si>
  <si>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</si>
  <si>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</si>
  <si>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</si>
  <si>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</si>
  <si>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</si>
  <si>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</si>
  <si>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</si>
  <si>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</si>
  <si>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</si>
  <si>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</si>
  <si>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</si>
  <si>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</si>
  <si>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</si>
  <si>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</si>
  <si>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</si>
  <si>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</si>
  <si>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</si>
  <si>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</si>
  <si>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</si>
  <si>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</si>
  <si>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</si>
  <si>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</si>
  <si>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</si>
  <si>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</si>
  <si>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</si>
  <si>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</si>
  <si>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</si>
  <si>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</si>
  <si>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</si>
  <si>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</si>
  <si>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</si>
  <si>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</si>
  <si>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</si>
  <si>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</si>
  <si>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</si>
  <si>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</si>
  <si>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</si>
  <si>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</si>
  <si>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</si>
  <si>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</si>
  <si>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</si>
  <si>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</si>
  <si>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</si>
  <si>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</si>
  <si>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</si>
  <si>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</si>
  <si>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</si>
  <si>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</si>
  <si>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</si>
  <si>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</si>
  <si>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</si>
  <si>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</si>
  <si>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</si>
  <si>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</si>
  <si>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</si>
  <si>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</si>
  <si>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</si>
  <si>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</si>
  <si>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</si>
  <si>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</si>
  <si>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</si>
  <si>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</si>
  <si>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</si>
  <si>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</si>
  <si>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</si>
  <si>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</si>
  <si>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</si>
  <si>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</si>
  <si>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</si>
  <si>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</si>
  <si>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</si>
  <si>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</si>
  <si>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</si>
  <si>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</si>
  <si>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</si>
  <si>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</si>
  <si>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</si>
  <si>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</si>
  <si>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</si>
  <si>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</si>
  <si>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</si>
  <si>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</si>
  <si>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</si>
  <si>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</si>
  <si>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</si>
  <si>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</si>
  <si>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</si>
  <si>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</si>
  <si>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</si>
  <si>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</si>
  <si>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</si>
  <si>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</si>
  <si>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</si>
  <si>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</si>
  <si>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</si>
  <si>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</si>
  <si>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</si>
  <si>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</si>
  <si>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</si>
  <si>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</si>
  <si>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</si>
  <si>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</si>
  <si>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</si>
  <si>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</si>
  <si>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</si>
  <si>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</si>
  <si>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</si>
  <si>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</si>
  <si>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</si>
  <si>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</si>
  <si>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</si>
  <si>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</si>
  <si>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</si>
  <si>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</si>
  <si>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</si>
  <si>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</si>
  <si>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</si>
  <si>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</si>
  <si>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</si>
  <si>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</si>
  <si>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</si>
  <si>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</si>
  <si>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</si>
  <si>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</si>
  <si>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</si>
  <si>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</si>
  <si>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</si>
  <si>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</si>
  <si>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</si>
  <si>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41048</t>
  </si>
  <si>
    <t>NINOVE</t>
  </si>
  <si>
    <t>Eandis (januari 2018); Infrax (juni 2018)</t>
  </si>
  <si>
    <t>MOW (september 2017)</t>
  </si>
  <si>
    <t>referentietaak LNE (2017); Jaarverslag De Lijn (2016)</t>
  </si>
  <si>
    <t>VEA (april 2018)</t>
  </si>
  <si>
    <t>VEA (januari 2017)</t>
  </si>
  <si>
    <t>VEA (juni 2018)</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</si>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</sst>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317347.1879515191</c:v>
                </c:pt>
                <c:pt idx="1">
                  <c:v>109770.86723648716</c:v>
                </c:pt>
                <c:pt idx="2">
                  <c:v>2593.6799999999998</c:v>
                </c:pt>
                <c:pt idx="3">
                  <c:v>7426.9326230735496</c:v>
                </c:pt>
                <c:pt idx="4">
                  <c:v>118627.43327380833</c:v>
                </c:pt>
                <c:pt idx="5">
                  <c:v>211794.57248824098</c:v>
                </c:pt>
                <c:pt idx="6">
                  <c:v>2995.4238134724228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317347.1879515191</c:v>
                </c:pt>
                <c:pt idx="1">
                  <c:v>109770.86723648716</c:v>
                </c:pt>
                <c:pt idx="2">
                  <c:v>2593.6799999999998</c:v>
                </c:pt>
                <c:pt idx="3">
                  <c:v>7426.9326230735496</c:v>
                </c:pt>
                <c:pt idx="4">
                  <c:v>118627.43327380833</c:v>
                </c:pt>
                <c:pt idx="5">
                  <c:v>211794.57248824098</c:v>
                </c:pt>
                <c:pt idx="6">
                  <c:v>2995.4238134724228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62009.599816594549</c:v>
                </c:pt>
                <c:pt idx="2">
                  <c:v>22921.850036736309</c:v>
                </c:pt>
                <c:pt idx="3">
                  <c:v>532.92013775017938</c:v>
                </c:pt>
                <c:pt idx="4">
                  <c:v>1893.5544366026429</c:v>
                </c:pt>
                <c:pt idx="5">
                  <c:v>22967.593437171068</c:v>
                </c:pt>
                <c:pt idx="6">
                  <c:v>53034.820461714728</c:v>
                </c:pt>
                <c:pt idx="7">
                  <c:v>756.79551393711267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55552"/>
        <c:axId val="175665536"/>
      </c:barChart>
      <c:catAx>
        <c:axId val="175655552"/>
        <c:scaling>
          <c:orientation val="minMax"/>
        </c:scaling>
        <c:axPos val="b"/>
        <c:numFmt formatCode="General" sourceLinked="0"/>
        <c:tickLblPos val="nextTo"/>
        <c:crossAx val="175665536"/>
        <c:crosses val="autoZero"/>
        <c:auto val="1"/>
        <c:lblAlgn val="ctr"/>
        <c:lblOffset val="100"/>
      </c:catAx>
      <c:valAx>
        <c:axId val="175665536"/>
        <c:scaling>
          <c:orientation val="minMax"/>
        </c:scaling>
        <c:axPos val="l"/>
        <c:majorGridlines>
          <c:spPr>
            <a:ln>
              <a:noFill/>
            </a:ln>
          </c:spPr>
        </c:majorGridlines>
        <c:numFmt formatCode="#,##0" sourceLinked="1"/>
        <c:tickLblPos val="nextTo"/>
        <c:crossAx val="1756555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62009.599816594549</c:v>
                </c:pt>
                <c:pt idx="2">
                  <c:v>22921.850036736309</c:v>
                </c:pt>
                <c:pt idx="3">
                  <c:v>532.92013775017938</c:v>
                </c:pt>
                <c:pt idx="4">
                  <c:v>1893.5544366026429</c:v>
                </c:pt>
                <c:pt idx="5">
                  <c:v>22967.593437171068</c:v>
                </c:pt>
                <c:pt idx="6">
                  <c:v>53034.820461714728</c:v>
                </c:pt>
                <c:pt idx="7">
                  <c:v>756.79551393711267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41048</v>
      </c>
      <c r="B6" s="415"/>
      <c r="C6" s="416"/>
    </row>
    <row r="7" spans="1:7" s="413" customFormat="1" ht="15.75" customHeight="1">
      <c r="A7" s="417" t="str">
        <f>txtMunicipality</f>
        <v>NINOVE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0.2054687308188286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0.2054687308188286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16069</v>
      </c>
      <c r="C9" s="342">
        <v>17074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3908.9</v>
      </c>
    </row>
    <row r="15" spans="1:6">
      <c r="A15" s="348" t="s">
        <v>184</v>
      </c>
      <c r="B15" s="334">
        <v>129</v>
      </c>
    </row>
    <row r="16" spans="1:6">
      <c r="A16" s="348" t="s">
        <v>6</v>
      </c>
      <c r="B16" s="334">
        <v>1627</v>
      </c>
    </row>
    <row r="17" spans="1:6">
      <c r="A17" s="348" t="s">
        <v>7</v>
      </c>
      <c r="B17" s="334">
        <v>1274</v>
      </c>
    </row>
    <row r="18" spans="1:6">
      <c r="A18" s="348" t="s">
        <v>8</v>
      </c>
      <c r="B18" s="334">
        <v>1991</v>
      </c>
    </row>
    <row r="19" spans="1:6">
      <c r="A19" s="348" t="s">
        <v>9</v>
      </c>
      <c r="B19" s="334">
        <v>1823</v>
      </c>
    </row>
    <row r="20" spans="1:6">
      <c r="A20" s="348" t="s">
        <v>10</v>
      </c>
      <c r="B20" s="334">
        <v>1709</v>
      </c>
    </row>
    <row r="21" spans="1:6">
      <c r="A21" s="348" t="s">
        <v>11</v>
      </c>
      <c r="B21" s="334">
        <v>391</v>
      </c>
    </row>
    <row r="22" spans="1:6">
      <c r="A22" s="348" t="s">
        <v>12</v>
      </c>
      <c r="B22" s="334">
        <v>1894</v>
      </c>
    </row>
    <row r="23" spans="1:6">
      <c r="A23" s="348" t="s">
        <v>13</v>
      </c>
      <c r="B23" s="334">
        <v>12</v>
      </c>
    </row>
    <row r="24" spans="1:6">
      <c r="A24" s="348" t="s">
        <v>14</v>
      </c>
      <c r="B24" s="334">
        <v>0</v>
      </c>
    </row>
    <row r="25" spans="1:6">
      <c r="A25" s="348" t="s">
        <v>15</v>
      </c>
      <c r="B25" s="334">
        <v>167</v>
      </c>
    </row>
    <row r="26" spans="1:6">
      <c r="A26" s="348" t="s">
        <v>16</v>
      </c>
      <c r="B26" s="334">
        <v>403</v>
      </c>
    </row>
    <row r="27" spans="1:6">
      <c r="A27" s="348" t="s">
        <v>17</v>
      </c>
      <c r="B27" s="334">
        <v>1</v>
      </c>
    </row>
    <row r="28" spans="1:6" s="356" customFormat="1">
      <c r="A28" s="355" t="s">
        <v>18</v>
      </c>
      <c r="B28" s="355">
        <v>0</v>
      </c>
    </row>
    <row r="29" spans="1:6">
      <c r="A29" s="355" t="s">
        <v>744</v>
      </c>
      <c r="B29" s="355">
        <v>202</v>
      </c>
      <c r="C29" s="356"/>
      <c r="D29" s="356"/>
      <c r="E29" s="356"/>
      <c r="F29" s="356"/>
    </row>
    <row r="30" spans="1:6">
      <c r="A30" s="341" t="s">
        <v>745</v>
      </c>
      <c r="B30" s="341">
        <v>53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3840.9830049227999</v>
      </c>
    </row>
    <row r="37" spans="1:6">
      <c r="A37" s="348" t="s">
        <v>25</v>
      </c>
      <c r="B37" s="348" t="s">
        <v>28</v>
      </c>
      <c r="C37" s="334">
        <v>0</v>
      </c>
      <c r="D37" s="334">
        <v>0</v>
      </c>
      <c r="E37" s="334">
        <v>0</v>
      </c>
      <c r="F37" s="334">
        <v>0</v>
      </c>
    </row>
    <row r="38" spans="1:6">
      <c r="A38" s="348" t="s">
        <v>25</v>
      </c>
      <c r="B38" s="348" t="s">
        <v>29</v>
      </c>
      <c r="C38" s="334">
        <v>1</v>
      </c>
      <c r="D38" s="334">
        <v>148811.59547808999</v>
      </c>
      <c r="E38" s="334">
        <v>2</v>
      </c>
      <c r="F38" s="334">
        <v>5593</v>
      </c>
    </row>
    <row r="39" spans="1:6">
      <c r="A39" s="348" t="s">
        <v>30</v>
      </c>
      <c r="B39" s="348" t="s">
        <v>31</v>
      </c>
      <c r="C39" s="334">
        <v>8708</v>
      </c>
      <c r="D39" s="334">
        <v>131008935.394995</v>
      </c>
      <c r="E39" s="334">
        <v>15892</v>
      </c>
      <c r="F39" s="334">
        <v>61703543.939351797</v>
      </c>
    </row>
    <row r="40" spans="1:6">
      <c r="A40" s="348" t="s">
        <v>30</v>
      </c>
      <c r="B40" s="348" t="s">
        <v>29</v>
      </c>
      <c r="C40" s="334">
        <v>0</v>
      </c>
      <c r="D40" s="334">
        <v>0</v>
      </c>
      <c r="E40" s="334">
        <v>0</v>
      </c>
      <c r="F40" s="334">
        <v>0</v>
      </c>
    </row>
    <row r="41" spans="1:6">
      <c r="A41" s="348" t="s">
        <v>32</v>
      </c>
      <c r="B41" s="348" t="s">
        <v>33</v>
      </c>
      <c r="C41" s="334">
        <v>67</v>
      </c>
      <c r="D41" s="334">
        <v>1550217.5110905699</v>
      </c>
      <c r="E41" s="334">
        <v>286</v>
      </c>
      <c r="F41" s="334">
        <v>1993038.32765967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576236.62539039098</v>
      </c>
      <c r="E44" s="334">
        <v>35</v>
      </c>
      <c r="F44" s="334">
        <v>3041369.1849485799</v>
      </c>
    </row>
    <row r="45" spans="1:6">
      <c r="A45" s="348" t="s">
        <v>32</v>
      </c>
      <c r="B45" s="348" t="s">
        <v>37</v>
      </c>
      <c r="C45" s="334">
        <v>0</v>
      </c>
      <c r="D45" s="334">
        <v>0</v>
      </c>
      <c r="E45" s="334">
        <v>3</v>
      </c>
      <c r="F45" s="334">
        <v>308428.63271641103</v>
      </c>
    </row>
    <row r="46" spans="1:6">
      <c r="A46" s="348" t="s">
        <v>32</v>
      </c>
      <c r="B46" s="348" t="s">
        <v>38</v>
      </c>
      <c r="C46" s="334">
        <v>0</v>
      </c>
      <c r="D46" s="334">
        <v>0</v>
      </c>
      <c r="E46" s="334">
        <v>0</v>
      </c>
      <c r="F46" s="334">
        <v>0</v>
      </c>
    </row>
    <row r="47" spans="1:6">
      <c r="A47" s="348" t="s">
        <v>32</v>
      </c>
      <c r="B47" s="348" t="s">
        <v>39</v>
      </c>
      <c r="C47" s="334">
        <v>6</v>
      </c>
      <c r="D47" s="334">
        <v>97776.202156127198</v>
      </c>
      <c r="E47" s="334">
        <v>12</v>
      </c>
      <c r="F47" s="334">
        <v>277740.59934225201</v>
      </c>
    </row>
    <row r="48" spans="1:6">
      <c r="A48" s="348" t="s">
        <v>32</v>
      </c>
      <c r="B48" s="348" t="s">
        <v>29</v>
      </c>
      <c r="C48" s="334">
        <v>82</v>
      </c>
      <c r="D48" s="334">
        <v>26699953.763891999</v>
      </c>
      <c r="E48" s="334">
        <v>117</v>
      </c>
      <c r="F48" s="334">
        <v>27612076.7666573</v>
      </c>
    </row>
    <row r="49" spans="1:6">
      <c r="A49" s="348" t="s">
        <v>32</v>
      </c>
      <c r="B49" s="348" t="s">
        <v>40</v>
      </c>
      <c r="C49" s="334">
        <v>0</v>
      </c>
      <c r="D49" s="334">
        <v>0</v>
      </c>
      <c r="E49" s="334">
        <v>0</v>
      </c>
      <c r="F49" s="334">
        <v>0</v>
      </c>
    </row>
    <row r="50" spans="1:6">
      <c r="A50" s="348" t="s">
        <v>32</v>
      </c>
      <c r="B50" s="348" t="s">
        <v>41</v>
      </c>
      <c r="C50" s="334">
        <v>13</v>
      </c>
      <c r="D50" s="334">
        <v>27362570.103423201</v>
      </c>
      <c r="E50" s="334">
        <v>25</v>
      </c>
      <c r="F50" s="334">
        <v>15106044.9840989</v>
      </c>
    </row>
    <row r="51" spans="1:6">
      <c r="A51" s="348" t="s">
        <v>42</v>
      </c>
      <c r="B51" s="348" t="s">
        <v>43</v>
      </c>
      <c r="C51" s="334">
        <v>7</v>
      </c>
      <c r="D51" s="334">
        <v>272888.29798423202</v>
      </c>
      <c r="E51" s="334">
        <v>92</v>
      </c>
      <c r="F51" s="334">
        <v>1060932.2063754001</v>
      </c>
    </row>
    <row r="52" spans="1:6">
      <c r="A52" s="348" t="s">
        <v>42</v>
      </c>
      <c r="B52" s="348" t="s">
        <v>29</v>
      </c>
      <c r="C52" s="334">
        <v>8</v>
      </c>
      <c r="D52" s="334">
        <v>120917.876738297</v>
      </c>
      <c r="E52" s="334">
        <v>26</v>
      </c>
      <c r="F52" s="334">
        <v>263305.87904552399</v>
      </c>
    </row>
    <row r="53" spans="1:6">
      <c r="A53" s="348" t="s">
        <v>44</v>
      </c>
      <c r="B53" s="348" t="s">
        <v>45</v>
      </c>
      <c r="C53" s="334">
        <v>233</v>
      </c>
      <c r="D53" s="334">
        <v>3938469.4566523698</v>
      </c>
      <c r="E53" s="334">
        <v>589</v>
      </c>
      <c r="F53" s="334">
        <v>1936847.89520325</v>
      </c>
    </row>
    <row r="54" spans="1:6">
      <c r="A54" s="348" t="s">
        <v>46</v>
      </c>
      <c r="B54" s="348" t="s">
        <v>47</v>
      </c>
      <c r="C54" s="334">
        <v>0</v>
      </c>
      <c r="D54" s="334">
        <v>0</v>
      </c>
      <c r="E54" s="334">
        <v>1</v>
      </c>
      <c r="F54" s="334">
        <v>2593680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4714178.17562073</v>
      </c>
      <c r="E57" s="334">
        <v>179</v>
      </c>
      <c r="F57" s="334">
        <v>4158585.2028768999</v>
      </c>
    </row>
    <row r="58" spans="1:6">
      <c r="A58" s="348" t="s">
        <v>49</v>
      </c>
      <c r="B58" s="348" t="s">
        <v>51</v>
      </c>
      <c r="C58" s="334">
        <v>37</v>
      </c>
      <c r="D58" s="334">
        <v>1335354.1075044901</v>
      </c>
      <c r="E58" s="334">
        <v>86</v>
      </c>
      <c r="F58" s="334">
        <v>1001109.74686656</v>
      </c>
    </row>
    <row r="59" spans="1:6">
      <c r="A59" s="348" t="s">
        <v>49</v>
      </c>
      <c r="B59" s="348" t="s">
        <v>52</v>
      </c>
      <c r="C59" s="334">
        <v>194</v>
      </c>
      <c r="D59" s="334">
        <v>16425390.7013124</v>
      </c>
      <c r="E59" s="334">
        <v>515</v>
      </c>
      <c r="F59" s="334">
        <v>21598217.4555839</v>
      </c>
    </row>
    <row r="60" spans="1:6">
      <c r="A60" s="348" t="s">
        <v>49</v>
      </c>
      <c r="B60" s="348" t="s">
        <v>53</v>
      </c>
      <c r="C60" s="334">
        <v>112</v>
      </c>
      <c r="D60" s="334">
        <v>4497270.7569070598</v>
      </c>
      <c r="E60" s="334">
        <v>188</v>
      </c>
      <c r="F60" s="334">
        <v>4773332.10186195</v>
      </c>
    </row>
    <row r="61" spans="1:6">
      <c r="A61" s="348" t="s">
        <v>49</v>
      </c>
      <c r="B61" s="348" t="s">
        <v>54</v>
      </c>
      <c r="C61" s="334">
        <v>244</v>
      </c>
      <c r="D61" s="334">
        <v>8320478.5998881198</v>
      </c>
      <c r="E61" s="334">
        <v>767</v>
      </c>
      <c r="F61" s="334">
        <v>8726284.0042597391</v>
      </c>
    </row>
    <row r="62" spans="1:6">
      <c r="A62" s="348" t="s">
        <v>49</v>
      </c>
      <c r="B62" s="348" t="s">
        <v>55</v>
      </c>
      <c r="C62" s="334">
        <v>37</v>
      </c>
      <c r="D62" s="334">
        <v>8594896.2815923002</v>
      </c>
      <c r="E62" s="334">
        <v>21</v>
      </c>
      <c r="F62" s="334">
        <v>1049983.9151165599</v>
      </c>
    </row>
    <row r="63" spans="1:6">
      <c r="A63" s="348" t="s">
        <v>49</v>
      </c>
      <c r="B63" s="348" t="s">
        <v>29</v>
      </c>
      <c r="C63" s="334">
        <v>213</v>
      </c>
      <c r="D63" s="334">
        <v>11435277.4506061</v>
      </c>
      <c r="E63" s="334">
        <v>294</v>
      </c>
      <c r="F63" s="334">
        <v>6701809.1391466204</v>
      </c>
    </row>
    <row r="64" spans="1:6">
      <c r="A64" s="348" t="s">
        <v>56</v>
      </c>
      <c r="B64" s="348" t="s">
        <v>57</v>
      </c>
      <c r="C64" s="334">
        <v>0</v>
      </c>
      <c r="D64" s="334">
        <v>0</v>
      </c>
      <c r="E64" s="334">
        <v>0</v>
      </c>
      <c r="F64" s="334">
        <v>0</v>
      </c>
    </row>
    <row r="65" spans="1:6">
      <c r="A65" s="348" t="s">
        <v>56</v>
      </c>
      <c r="B65" s="348" t="s">
        <v>29</v>
      </c>
      <c r="C65" s="334">
        <v>10</v>
      </c>
      <c r="D65" s="334">
        <v>287051.81293052301</v>
      </c>
      <c r="E65" s="334">
        <v>10</v>
      </c>
      <c r="F65" s="334">
        <v>150906.474104252</v>
      </c>
    </row>
    <row r="66" spans="1:6">
      <c r="A66" s="348" t="s">
        <v>56</v>
      </c>
      <c r="B66" s="348" t="s">
        <v>58</v>
      </c>
      <c r="C66" s="334">
        <v>0</v>
      </c>
      <c r="D66" s="334">
        <v>0</v>
      </c>
      <c r="E66" s="334">
        <v>18</v>
      </c>
      <c r="F66" s="334">
        <v>401922.36827707198</v>
      </c>
    </row>
    <row r="67" spans="1:6">
      <c r="A67" s="355" t="s">
        <v>56</v>
      </c>
      <c r="B67" s="355" t="s">
        <v>59</v>
      </c>
      <c r="C67" s="334">
        <v>0</v>
      </c>
      <c r="D67" s="334">
        <v>0</v>
      </c>
      <c r="E67" s="334">
        <v>0</v>
      </c>
      <c r="F67" s="334">
        <v>0</v>
      </c>
    </row>
    <row r="68" spans="1:6">
      <c r="A68" s="341" t="s">
        <v>56</v>
      </c>
      <c r="B68" s="341" t="s">
        <v>60</v>
      </c>
      <c r="C68" s="334">
        <v>0</v>
      </c>
      <c r="D68" s="334">
        <v>0</v>
      </c>
      <c r="E68" s="334">
        <v>13</v>
      </c>
      <c r="F68" s="334">
        <v>171631.36097398601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152934015</v>
      </c>
      <c r="E73" s="475">
        <v>156668721.58466604</v>
      </c>
    </row>
    <row r="74" spans="1:6">
      <c r="A74" s="348" t="s">
        <v>64</v>
      </c>
      <c r="B74" s="348" t="s">
        <v>657</v>
      </c>
      <c r="C74" s="1295" t="s">
        <v>659</v>
      </c>
      <c r="D74" s="475">
        <v>21704975.5</v>
      </c>
      <c r="E74" s="475">
        <v>21646115.232161723</v>
      </c>
    </row>
    <row r="75" spans="1:6">
      <c r="A75" s="348" t="s">
        <v>65</v>
      </c>
      <c r="B75" s="348" t="s">
        <v>656</v>
      </c>
      <c r="C75" s="1295" t="s">
        <v>660</v>
      </c>
      <c r="D75" s="475">
        <v>57906754</v>
      </c>
      <c r="E75" s="475">
        <v>59572232.77437745</v>
      </c>
    </row>
    <row r="76" spans="1:6">
      <c r="A76" s="348" t="s">
        <v>65</v>
      </c>
      <c r="B76" s="348" t="s">
        <v>657</v>
      </c>
      <c r="C76" s="1295" t="s">
        <v>661</v>
      </c>
      <c r="D76" s="475">
        <v>2681027.5</v>
      </c>
      <c r="E76" s="475">
        <v>2703595.2152746511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812409</v>
      </c>
      <c r="C83" s="475">
        <v>809289.6833457062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6115.1204202807403</v>
      </c>
    </row>
    <row r="92" spans="1:6">
      <c r="A92" s="341" t="s">
        <v>69</v>
      </c>
      <c r="B92" s="342">
        <v>3806.0426868622799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4030</v>
      </c>
    </row>
    <row r="98" spans="1:6">
      <c r="A98" s="348" t="s">
        <v>72</v>
      </c>
      <c r="B98" s="334">
        <v>2</v>
      </c>
    </row>
    <row r="99" spans="1:6">
      <c r="A99" s="348" t="s">
        <v>73</v>
      </c>
      <c r="B99" s="334">
        <v>188</v>
      </c>
    </row>
    <row r="100" spans="1:6">
      <c r="A100" s="348" t="s">
        <v>74</v>
      </c>
      <c r="B100" s="334">
        <v>1269</v>
      </c>
    </row>
    <row r="101" spans="1:6">
      <c r="A101" s="348" t="s">
        <v>75</v>
      </c>
      <c r="B101" s="334">
        <v>211</v>
      </c>
    </row>
    <row r="102" spans="1:6">
      <c r="A102" s="348" t="s">
        <v>76</v>
      </c>
      <c r="B102" s="334">
        <v>300</v>
      </c>
    </row>
    <row r="103" spans="1:6">
      <c r="A103" s="348" t="s">
        <v>77</v>
      </c>
      <c r="B103" s="334">
        <v>540</v>
      </c>
    </row>
    <row r="104" spans="1:6">
      <c r="A104" s="348" t="s">
        <v>78</v>
      </c>
      <c r="B104" s="334">
        <v>7256</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41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235</v>
      </c>
    </row>
    <row r="130" spans="1:6">
      <c r="A130" s="348" t="s">
        <v>295</v>
      </c>
      <c r="B130" s="334">
        <v>3</v>
      </c>
    </row>
    <row r="131" spans="1:6">
      <c r="A131" s="348" t="s">
        <v>296</v>
      </c>
      <c r="B131" s="334">
        <v>3</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172291.39585853135</v>
      </c>
      <c r="C3" s="43" t="s">
        <v>170</v>
      </c>
      <c r="D3" s="43"/>
      <c r="E3" s="154"/>
      <c r="F3" s="43"/>
      <c r="G3" s="43"/>
      <c r="H3" s="43"/>
      <c r="I3" s="43"/>
      <c r="J3" s="43"/>
      <c r="K3" s="96"/>
    </row>
    <row r="4" spans="1:11">
      <c r="A4" s="383" t="s">
        <v>171</v>
      </c>
      <c r="B4" s="49">
        <f>IF(ISERROR('SEAP template'!B78+'SEAP template'!C78),0,'SEAP template'!B78+'SEAP template'!C78)</f>
        <v>12108.16310714302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0.2054687308188286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2593.6799999999998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2593.6799999999998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0.2054687308188286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532.92013775017938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61703.543939351795</v>
      </c>
      <c r="C5" s="17">
        <f>IF(ISERROR('Eigen informatie GS &amp; warmtenet'!B57),0,'Eigen informatie GS &amp; warmtenet'!B57)</f>
        <v>0</v>
      </c>
      <c r="D5" s="30">
        <f>(SUM(HH_hh_gas_kWh,HH_rest_gas_kWh)/1000)*0.902</f>
        <v>118170.0597262855</v>
      </c>
      <c r="E5" s="17">
        <f>B46*B57</f>
        <v>9913.3308957020527</v>
      </c>
      <c r="F5" s="17">
        <f>B51*B62</f>
        <v>78850.543452661645</v>
      </c>
      <c r="G5" s="18"/>
      <c r="H5" s="17"/>
      <c r="I5" s="17"/>
      <c r="J5" s="17">
        <f>B50*B61+C50*C61</f>
        <v>2545.7956070565569</v>
      </c>
      <c r="K5" s="17"/>
      <c r="L5" s="17"/>
      <c r="M5" s="17"/>
      <c r="N5" s="17">
        <f>B48*B59+C48*C59</f>
        <v>37917.253910180698</v>
      </c>
      <c r="O5" s="17">
        <f>B69*B70*B71</f>
        <v>434.60666666666674</v>
      </c>
      <c r="P5" s="17">
        <f>B77*B78*B79/1000-B77*B78*B79/1000/B80</f>
        <v>1696.9333333333334</v>
      </c>
    </row>
    <row r="6" spans="1:16">
      <c r="A6" s="16" t="s">
        <v>621</v>
      </c>
      <c r="B6" s="788">
        <f>kWh_PV_kleiner_dan_10kW</f>
        <v>6115.1204202807403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67818.66435963253</v>
      </c>
      <c r="C8" s="21">
        <f>C5</f>
        <v>0</v>
      </c>
      <c r="D8" s="21">
        <f>D5</f>
        <v>118170.0597262855</v>
      </c>
      <c r="E8" s="21">
        <f>E5</f>
        <v>9913.3308957020527</v>
      </c>
      <c r="F8" s="21">
        <f>F5</f>
        <v>78850.543452661645</v>
      </c>
      <c r="G8" s="21"/>
      <c r="H8" s="21"/>
      <c r="I8" s="21"/>
      <c r="J8" s="21">
        <f>J5</f>
        <v>2545.7956070565569</v>
      </c>
      <c r="K8" s="21"/>
      <c r="L8" s="21">
        <f>L5</f>
        <v>0</v>
      </c>
      <c r="M8" s="21">
        <f>M5</f>
        <v>0</v>
      </c>
      <c r="N8" s="21">
        <f>N5</f>
        <v>37917.253910180698</v>
      </c>
      <c r="O8" s="21">
        <f>O5</f>
        <v>434.60666666666674</v>
      </c>
      <c r="P8" s="21">
        <f>P5</f>
        <v>1696.9333333333334</v>
      </c>
    </row>
    <row r="9" spans="1:16">
      <c r="B9" s="19"/>
      <c r="C9" s="19"/>
      <c r="D9" s="258"/>
      <c r="E9" s="19"/>
      <c r="F9" s="19"/>
      <c r="G9" s="19"/>
      <c r="H9" s="19"/>
      <c r="I9" s="19"/>
      <c r="J9" s="19"/>
      <c r="K9" s="19"/>
      <c r="L9" s="19"/>
      <c r="M9" s="19"/>
      <c r="N9" s="19"/>
      <c r="O9" s="19"/>
      <c r="P9" s="19"/>
    </row>
    <row r="10" spans="1:16">
      <c r="A10" s="24" t="s">
        <v>214</v>
      </c>
      <c r="B10" s="25">
        <f ca="1">'EF ele_warmte'!B12</f>
        <v>0.2054687308188286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13934.614891801821</v>
      </c>
      <c r="C12" s="23">
        <f ca="1">C10*C8</f>
        <v>0</v>
      </c>
      <c r="D12" s="23">
        <f>D8*D10</f>
        <v>23870.352064709674</v>
      </c>
      <c r="E12" s="23">
        <f>E10*E8</f>
        <v>2250.3261133243659</v>
      </c>
      <c r="F12" s="23">
        <f>F10*F8</f>
        <v>21053.095101860661</v>
      </c>
      <c r="G12" s="23"/>
      <c r="H12" s="23"/>
      <c r="I12" s="23"/>
      <c r="J12" s="23">
        <f>J10*J8</f>
        <v>901.21164489802106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4030</v>
      </c>
      <c r="C18" s="166" t="s">
        <v>111</v>
      </c>
      <c r="D18" s="228"/>
      <c r="E18" s="15"/>
    </row>
    <row r="19" spans="1:7">
      <c r="A19" s="171" t="s">
        <v>72</v>
      </c>
      <c r="B19" s="37">
        <f>aantalw2001_ander</f>
        <v>2</v>
      </c>
      <c r="C19" s="166" t="s">
        <v>111</v>
      </c>
      <c r="D19" s="229"/>
      <c r="E19" s="15"/>
    </row>
    <row r="20" spans="1:7">
      <c r="A20" s="171" t="s">
        <v>73</v>
      </c>
      <c r="B20" s="37">
        <f>aantalw2001_propaan</f>
        <v>188</v>
      </c>
      <c r="C20" s="167">
        <f>IF(ISERROR(B20/SUM($B$20,$B$21,$B$22)*100),0,B20/SUM($B$20,$B$21,$B$22)*100)</f>
        <v>11.270983213429256</v>
      </c>
      <c r="D20" s="229"/>
      <c r="E20" s="15"/>
    </row>
    <row r="21" spans="1:7">
      <c r="A21" s="171" t="s">
        <v>74</v>
      </c>
      <c r="B21" s="37">
        <f>aantalw2001_elektriciteit</f>
        <v>1269</v>
      </c>
      <c r="C21" s="167">
        <f>IF(ISERROR(B21/SUM($B$20,$B$21,$B$22)*100),0,B21/SUM($B$20,$B$21,$B$22)*100)</f>
        <v>76.079136690647488</v>
      </c>
      <c r="D21" s="229"/>
      <c r="E21" s="15"/>
    </row>
    <row r="22" spans="1:7">
      <c r="A22" s="171" t="s">
        <v>75</v>
      </c>
      <c r="B22" s="37">
        <f>aantalw2001_hout</f>
        <v>211</v>
      </c>
      <c r="C22" s="167">
        <f>IF(ISERROR(B22/SUM($B$20,$B$21,$B$22)*100),0,B22/SUM($B$20,$B$21,$B$22)*100)</f>
        <v>12.64988009592326</v>
      </c>
      <c r="D22" s="229"/>
      <c r="E22" s="15"/>
    </row>
    <row r="23" spans="1:7">
      <c r="A23" s="171" t="s">
        <v>76</v>
      </c>
      <c r="B23" s="37">
        <f>aantalw2001_niet_gespec</f>
        <v>300</v>
      </c>
      <c r="C23" s="166" t="s">
        <v>111</v>
      </c>
      <c r="D23" s="228"/>
      <c r="E23" s="15"/>
    </row>
    <row r="24" spans="1:7">
      <c r="A24" s="171" t="s">
        <v>77</v>
      </c>
      <c r="B24" s="37">
        <f>aantalw2001_steenkool</f>
        <v>540</v>
      </c>
      <c r="C24" s="166" t="s">
        <v>111</v>
      </c>
      <c r="D24" s="229"/>
      <c r="E24" s="15"/>
    </row>
    <row r="25" spans="1:7">
      <c r="A25" s="171" t="s">
        <v>78</v>
      </c>
      <c r="B25" s="37">
        <f>aantalw2001_stookolie</f>
        <v>7256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16069</v>
      </c>
      <c r="C28" s="36"/>
      <c r="D28" s="228"/>
    </row>
    <row r="29" spans="1:7" s="15" customFormat="1">
      <c r="A29" s="230" t="s">
        <v>794</v>
      </c>
      <c r="B29" s="37">
        <f>SUM(HH_hh_gas_aantal,HH_rest_gas_aantal)</f>
        <v>8708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8708</v>
      </c>
      <c r="C32" s="167">
        <f>IF(ISERROR(B32/SUM($B$32,$B$34,$B$35,$B$36,$B$38,$B$39)*100),0,B32/SUM($B$32,$B$34,$B$35,$B$36,$B$38,$B$39)*100)</f>
        <v>54.493116395494368</v>
      </c>
      <c r="D32" s="233"/>
      <c r="G32" s="15"/>
    </row>
    <row r="33" spans="1:7">
      <c r="A33" s="171" t="s">
        <v>72</v>
      </c>
      <c r="B33" s="34" t="s">
        <v>111</v>
      </c>
      <c r="C33" s="167"/>
      <c r="D33" s="233"/>
      <c r="G33" s="15"/>
    </row>
    <row r="34" spans="1:7">
      <c r="A34" s="171" t="s">
        <v>73</v>
      </c>
      <c r="B34" s="33">
        <f>IF((($B$28-$B$32-$B$39-$B$77-$B$38)*C20/100)&lt;0,0,($B$28-$B$32-$B$39-$B$77-$B$38)*C20/100)</f>
        <v>468.19664268585126</v>
      </c>
      <c r="C34" s="167">
        <f>IF(ISERROR(B34/SUM($B$32,$B$34,$B$35,$B$36,$B$38,$B$39)*100),0,B34/SUM($B$32,$B$34,$B$35,$B$36,$B$38,$B$39)*100)</f>
        <v>2.9298913810128364</v>
      </c>
      <c r="D34" s="233"/>
      <c r="G34" s="15"/>
    </row>
    <row r="35" spans="1:7">
      <c r="A35" s="171" t="s">
        <v>74</v>
      </c>
      <c r="B35" s="33">
        <f>IF((($B$28-$B$32-$B$39-$B$77-$B$38)*C21/100)&lt;0,0,($B$28-$B$32-$B$39-$B$77-$B$38)*C21/100)</f>
        <v>3160.3273381294966</v>
      </c>
      <c r="C35" s="167">
        <f>IF(ISERROR(B35/SUM($B$32,$B$34,$B$35,$B$36,$B$38,$B$39)*100),0,B35/SUM($B$32,$B$34,$B$35,$B$36,$B$38,$B$39)*100)</f>
        <v>19.776766821836649</v>
      </c>
      <c r="D35" s="233"/>
      <c r="G35" s="15"/>
    </row>
    <row r="36" spans="1:7">
      <c r="A36" s="171" t="s">
        <v>75</v>
      </c>
      <c r="B36" s="33">
        <f>IF((($B$28-$B$32-$B$39-$B$77-$B$38)*C22/100)&lt;0,0,($B$28-$B$32-$B$39-$B$77-$B$38)*C22/100)</f>
        <v>525.47601918465227</v>
      </c>
      <c r="C36" s="167">
        <f>IF(ISERROR(B36/SUM($B$32,$B$34,$B$35,$B$36,$B$38,$B$39)*100),0,B36/SUM($B$32,$B$34,$B$35,$B$36,$B$38,$B$39)*100)</f>
        <v>3.2883355393282367</v>
      </c>
      <c r="D36" s="233"/>
      <c r="G36" s="15"/>
    </row>
    <row r="37" spans="1:7">
      <c r="A37" s="171" t="s">
        <v>76</v>
      </c>
      <c r="B37" s="34" t="s">
        <v>111</v>
      </c>
      <c r="C37" s="167"/>
      <c r="D37" s="173"/>
      <c r="G37" s="15"/>
    </row>
    <row r="38" spans="1:7">
      <c r="A38" s="171" t="s">
        <v>77</v>
      </c>
      <c r="B38" s="33">
        <f>IF((B24-(B29-B18)*0.1)&lt;0,0,B24-(B29-B18)*0.1)</f>
        <v>72.199999999999989</v>
      </c>
      <c r="C38" s="167">
        <f>IF(ISERROR(B38/SUM($B$32,$B$34,$B$35,$B$36,$B$38,$B$39)*100),0,B38/SUM($B$32,$B$34,$B$35,$B$36,$B$38,$B$39)*100)</f>
        <v>0.45181476846057567</v>
      </c>
      <c r="D38" s="234"/>
      <c r="G38" s="15"/>
    </row>
    <row r="39" spans="1:7">
      <c r="A39" s="171" t="s">
        <v>78</v>
      </c>
      <c r="B39" s="33">
        <f>IF((B25-(B29-B18))&lt;0,0,B25-(B29-B18)*0.9)</f>
        <v>3045.8</v>
      </c>
      <c r="C39" s="167">
        <f>IF(ISERROR(B39/SUM($B$32,$B$34,$B$35,$B$36,$B$38,$B$39)*100),0,B39/SUM($B$32,$B$34,$B$35,$B$36,$B$38,$B$39)*100)</f>
        <v>19.060075093867333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8708</v>
      </c>
      <c r="C44" s="34" t="s">
        <v>111</v>
      </c>
      <c r="D44" s="174"/>
    </row>
    <row r="45" spans="1:7">
      <c r="A45" s="171" t="s">
        <v>72</v>
      </c>
      <c r="B45" s="33" t="str">
        <f t="shared" si="0"/>
        <v>-</v>
      </c>
      <c r="C45" s="34" t="s">
        <v>111</v>
      </c>
      <c r="D45" s="174"/>
    </row>
    <row r="46" spans="1:7">
      <c r="A46" s="171" t="s">
        <v>73</v>
      </c>
      <c r="B46" s="33">
        <f t="shared" si="0"/>
        <v>468.19664268585126</v>
      </c>
      <c r="C46" s="34" t="s">
        <v>111</v>
      </c>
      <c r="D46" s="174"/>
    </row>
    <row r="47" spans="1:7">
      <c r="A47" s="171" t="s">
        <v>74</v>
      </c>
      <c r="B47" s="33">
        <f t="shared" si="0"/>
        <v>3160.3273381294966</v>
      </c>
      <c r="C47" s="34" t="s">
        <v>111</v>
      </c>
      <c r="D47" s="174"/>
    </row>
    <row r="48" spans="1:7">
      <c r="A48" s="171" t="s">
        <v>75</v>
      </c>
      <c r="B48" s="33">
        <f t="shared" si="0"/>
        <v>525.47601918465227</v>
      </c>
      <c r="C48" s="33">
        <f>B48*10</f>
        <v>5254.7601918465225</v>
      </c>
      <c r="D48" s="234"/>
    </row>
    <row r="49" spans="1:6">
      <c r="A49" s="171" t="s">
        <v>76</v>
      </c>
      <c r="B49" s="33" t="str">
        <f t="shared" si="0"/>
        <v>-</v>
      </c>
      <c r="C49" s="34" t="s">
        <v>111</v>
      </c>
      <c r="D49" s="234"/>
    </row>
    <row r="50" spans="1:6">
      <c r="A50" s="171" t="s">
        <v>77</v>
      </c>
      <c r="B50" s="33">
        <f t="shared" si="0"/>
        <v>72.199999999999989</v>
      </c>
      <c r="C50" s="33">
        <f>B50*2</f>
        <v>144.39999999999998</v>
      </c>
      <c r="D50" s="234"/>
    </row>
    <row r="51" spans="1:6">
      <c r="A51" s="171" t="s">
        <v>78</v>
      </c>
      <c r="B51" s="33">
        <f t="shared" si="0"/>
        <v>3045.8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48009.321565712235</v>
      </c>
      <c r="C5" s="17">
        <f>IF(ISERROR('Eigen informatie GS &amp; warmtenet'!B58),0,'Eigen informatie GS &amp; warmtenet'!B58)</f>
        <v>0</v>
      </c>
      <c r="D5" s="30">
        <f>SUM(D6:D12)</f>
        <v>49901.207158234938</v>
      </c>
      <c r="E5" s="17">
        <f>SUM(E6:E12)</f>
        <v>955.85777592445299</v>
      </c>
      <c r="F5" s="17">
        <f>SUM(F6:F12)</f>
        <v>8655.4842414320156</v>
      </c>
      <c r="G5" s="18"/>
      <c r="H5" s="17"/>
      <c r="I5" s="17"/>
      <c r="J5" s="17">
        <f>SUM(J6:J12)</f>
        <v>0.1064951835113418</v>
      </c>
      <c r="K5" s="17"/>
      <c r="L5" s="17"/>
      <c r="M5" s="17"/>
      <c r="N5" s="17">
        <f>SUM(N6:N12)</f>
        <v>4238.3854830983701</v>
      </c>
      <c r="O5" s="17">
        <f>B38*B39*B40</f>
        <v>4.6900000000000004</v>
      </c>
      <c r="P5" s="17">
        <f>B46*B47*B48/1000-B46*B47*B48/1000/B49</f>
        <v>57.2</v>
      </c>
      <c r="R5" s="32"/>
    </row>
    <row r="6" spans="1:18">
      <c r="A6" s="32" t="s">
        <v>54</v>
      </c>
      <c r="B6" s="37">
        <f>B26</f>
        <v>8726.28400425974</v>
      </c>
      <c r="C6" s="33"/>
      <c r="D6" s="37">
        <f>IF(ISERROR(TER_kantoor_gas_kWh/1000),0,TER_kantoor_gas_kWh/1000)*0.902</f>
        <v>7505.0716970990843</v>
      </c>
      <c r="E6" s="33">
        <f>$C$26*'E Balans VL '!I12/100/3.6*1000000</f>
        <v>5.469344582210911E-2</v>
      </c>
      <c r="F6" s="33">
        <f>$C$26*('E Balans VL '!L12+'E Balans VL '!N12)/100/3.6*1000000</f>
        <v>1311.3166502096381</v>
      </c>
      <c r="G6" s="34"/>
      <c r="H6" s="33"/>
      <c r="I6" s="33"/>
      <c r="J6" s="33">
        <f>$C$26*('E Balans VL '!D12+'E Balans VL '!E12)/100/3.6*1000000</f>
        <v>0</v>
      </c>
      <c r="K6" s="33"/>
      <c r="L6" s="33"/>
      <c r="M6" s="33"/>
      <c r="N6" s="33">
        <f>$C$26*'E Balans VL '!Y12/100/3.6*1000000</f>
        <v>8.3453968364823155</v>
      </c>
      <c r="O6" s="33"/>
      <c r="P6" s="33"/>
      <c r="R6" s="32"/>
    </row>
    <row r="7" spans="1:18">
      <c r="A7" s="32" t="s">
        <v>53</v>
      </c>
      <c r="B7" s="37">
        <f t="shared" ref="B7:B12" si="0">B27</f>
        <v>4773.3321018619499</v>
      </c>
      <c r="C7" s="33"/>
      <c r="D7" s="37">
        <f>IF(ISERROR(TER_horeca_gas_kWh/1000),0,TER_horeca_gas_kWh/1000)*0.902</f>
        <v>4056.5382227301679</v>
      </c>
      <c r="E7" s="33">
        <f>$C$27*'E Balans VL '!I9/100/3.6*1000000</f>
        <v>68.353320613315233</v>
      </c>
      <c r="F7" s="33">
        <f>$C$27*('E Balans VL '!L9+'E Balans VL '!N9)/100/3.6*1000000</f>
        <v>604.46127465359064</v>
      </c>
      <c r="G7" s="34"/>
      <c r="H7" s="33"/>
      <c r="I7" s="33"/>
      <c r="J7" s="33">
        <f>$C$27*('E Balans VL '!D9+'E Balans VL '!E9)/100/3.6*1000000</f>
        <v>0</v>
      </c>
      <c r="K7" s="33"/>
      <c r="L7" s="33"/>
      <c r="M7" s="33"/>
      <c r="N7" s="33">
        <f>$C$27*'E Balans VL '!Y9/100/3.6*1000000</f>
        <v>1.3722277363464832</v>
      </c>
      <c r="O7" s="33"/>
      <c r="P7" s="33"/>
      <c r="R7" s="32"/>
    </row>
    <row r="8" spans="1:18">
      <c r="A8" s="6" t="s">
        <v>52</v>
      </c>
      <c r="B8" s="37">
        <f t="shared" si="0"/>
        <v>21598.217455583901</v>
      </c>
      <c r="C8" s="33"/>
      <c r="D8" s="37">
        <f>IF(ISERROR(TER_handel_gas_kWh/1000),0,TER_handel_gas_kWh/1000)*0.902</f>
        <v>14815.702412583785</v>
      </c>
      <c r="E8" s="33">
        <f>$C$28*'E Balans VL '!I13/100/3.6*1000000</f>
        <v>783.36468374117476</v>
      </c>
      <c r="F8" s="33">
        <f>$C$28*('E Balans VL '!L13+'E Balans VL '!N13)/100/3.6*1000000</f>
        <v>4160.035377801446</v>
      </c>
      <c r="G8" s="34"/>
      <c r="H8" s="33"/>
      <c r="I8" s="33"/>
      <c r="J8" s="33">
        <f>$C$28*('E Balans VL '!D13+'E Balans VL '!E13)/100/3.6*1000000</f>
        <v>0</v>
      </c>
      <c r="K8" s="33"/>
      <c r="L8" s="33"/>
      <c r="M8" s="33"/>
      <c r="N8" s="33">
        <f>$C$28*'E Balans VL '!Y13/100/3.6*1000000</f>
        <v>29.918500704185913</v>
      </c>
      <c r="O8" s="33"/>
      <c r="P8" s="33"/>
      <c r="R8" s="32"/>
    </row>
    <row r="9" spans="1:18">
      <c r="A9" s="32" t="s">
        <v>51</v>
      </c>
      <c r="B9" s="37">
        <f t="shared" si="0"/>
        <v>1001.1097468665599</v>
      </c>
      <c r="C9" s="33"/>
      <c r="D9" s="37">
        <f>IF(ISERROR(TER_gezond_gas_kWh/1000),0,TER_gezond_gas_kWh/1000)*0.902</f>
        <v>1204.4894049690499</v>
      </c>
      <c r="E9" s="33">
        <f>$C$29*'E Balans VL '!I10/100/3.6*1000000</f>
        <v>6.2679354326917833E-2</v>
      </c>
      <c r="F9" s="33">
        <f>$C$29*('E Balans VL '!L10+'E Balans VL '!N10)/100/3.6*1000000</f>
        <v>148.71790098592203</v>
      </c>
      <c r="G9" s="34"/>
      <c r="H9" s="33"/>
      <c r="I9" s="33"/>
      <c r="J9" s="33">
        <f>$C$29*('E Balans VL '!D10+'E Balans VL '!E10)/100/3.6*1000000</f>
        <v>0</v>
      </c>
      <c r="K9" s="33"/>
      <c r="L9" s="33"/>
      <c r="M9" s="33"/>
      <c r="N9" s="33">
        <f>$C$29*'E Balans VL '!Y10/100/3.6*1000000</f>
        <v>15.485262163365233</v>
      </c>
      <c r="O9" s="33"/>
      <c r="P9" s="33"/>
      <c r="R9" s="32"/>
    </row>
    <row r="10" spans="1:18">
      <c r="A10" s="32" t="s">
        <v>50</v>
      </c>
      <c r="B10" s="37">
        <f t="shared" si="0"/>
        <v>4158.5852028768995</v>
      </c>
      <c r="C10" s="33"/>
      <c r="D10" s="37">
        <f>IF(ISERROR(TER_ander_gas_kWh/1000),0,TER_ander_gas_kWh/1000)*0.902</f>
        <v>4252.1887144098991</v>
      </c>
      <c r="E10" s="33">
        <f>$C$30*'E Balans VL '!I14/100/3.6*1000000</f>
        <v>4.9568849591035606</v>
      </c>
      <c r="F10" s="33">
        <f>$C$30*('E Balans VL '!L14+'E Balans VL '!N14)/100/3.6*1000000</f>
        <v>1088.0707652499609</v>
      </c>
      <c r="G10" s="34"/>
      <c r="H10" s="33"/>
      <c r="I10" s="33"/>
      <c r="J10" s="33">
        <f>$C$30*('E Balans VL '!D14+'E Balans VL '!E14)/100/3.6*1000000</f>
        <v>9.0266583550570378E-2</v>
      </c>
      <c r="K10" s="33"/>
      <c r="L10" s="33"/>
      <c r="M10" s="33"/>
      <c r="N10" s="33">
        <f>$C$30*'E Balans VL '!Y14/100/3.6*1000000</f>
        <v>3531.3687951355105</v>
      </c>
      <c r="O10" s="33"/>
      <c r="P10" s="33"/>
      <c r="R10" s="32"/>
    </row>
    <row r="11" spans="1:18">
      <c r="A11" s="32" t="s">
        <v>55</v>
      </c>
      <c r="B11" s="37">
        <f t="shared" si="0"/>
        <v>1049.98391511656</v>
      </c>
      <c r="C11" s="33"/>
      <c r="D11" s="37">
        <f>IF(ISERROR(TER_onderwijs_gas_kWh/1000),0,TER_onderwijs_gas_kWh/1000)*0.902</f>
        <v>7752.5964459962552</v>
      </c>
      <c r="E11" s="33">
        <f>$C$31*'E Balans VL '!I11/100/3.6*1000000</f>
        <v>15.842566119201713</v>
      </c>
      <c r="F11" s="33">
        <f>$C$31*('E Balans VL '!L11+'E Balans VL '!N11)/100/3.6*1000000</f>
        <v>183.97395592048596</v>
      </c>
      <c r="G11" s="34"/>
      <c r="H11" s="33"/>
      <c r="I11" s="33"/>
      <c r="J11" s="33">
        <f>$C$31*('E Balans VL '!D11+'E Balans VL '!E11)/100/3.6*1000000</f>
        <v>0</v>
      </c>
      <c r="K11" s="33"/>
      <c r="L11" s="33"/>
      <c r="M11" s="33"/>
      <c r="N11" s="33">
        <f>$C$31*'E Balans VL '!Y11/100/3.6*1000000</f>
        <v>2.9547345599550292</v>
      </c>
      <c r="O11" s="33"/>
      <c r="P11" s="33"/>
      <c r="R11" s="32"/>
    </row>
    <row r="12" spans="1:18">
      <c r="A12" s="32" t="s">
        <v>260</v>
      </c>
      <c r="B12" s="37">
        <f t="shared" si="0"/>
        <v>6701.8091391466205</v>
      </c>
      <c r="C12" s="33"/>
      <c r="D12" s="37">
        <f>IF(ISERROR(TER_rest_gas_kWh/1000),0,TER_rest_gas_kWh/1000)*0.902</f>
        <v>10314.620260446702</v>
      </c>
      <c r="E12" s="33">
        <f>$C$32*'E Balans VL '!I8/100/3.6*1000000</f>
        <v>83.222947691508551</v>
      </c>
      <c r="F12" s="33">
        <f>$C$32*('E Balans VL '!L8+'E Balans VL '!N8)/100/3.6*1000000</f>
        <v>1158.9083166109724</v>
      </c>
      <c r="G12" s="34"/>
      <c r="H12" s="33"/>
      <c r="I12" s="33"/>
      <c r="J12" s="33">
        <f>$C$32*('E Balans VL '!D8+'E Balans VL '!E8)/100/3.6*1000000</f>
        <v>1.622859996077141E-2</v>
      </c>
      <c r="K12" s="33"/>
      <c r="L12" s="33"/>
      <c r="M12" s="33"/>
      <c r="N12" s="33">
        <f>$C$32*'E Balans VL '!Y8/100/3.6*1000000</f>
        <v>648.9405659625246</v>
      </c>
      <c r="O12" s="33"/>
      <c r="P12" s="33"/>
      <c r="R12" s="32"/>
    </row>
    <row r="13" spans="1:18">
      <c r="A13" s="16" t="s">
        <v>488</v>
      </c>
      <c r="B13" s="247">
        <f ca="1">'lokale energieproductie'!N91+'lokale energieproductie'!N60</f>
        <v>2187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-6248.5714285714294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50196.321565712235</v>
      </c>
      <c r="C16" s="21">
        <f t="shared" ca="1" si="1"/>
        <v>0</v>
      </c>
      <c r="D16" s="21">
        <f t="shared" ca="1" si="1"/>
        <v>49901.207158234938</v>
      </c>
      <c r="E16" s="21">
        <f t="shared" si="1"/>
        <v>955.85777592445299</v>
      </c>
      <c r="F16" s="21">
        <f t="shared" ca="1" si="1"/>
        <v>8655.4842414320156</v>
      </c>
      <c r="G16" s="21">
        <f t="shared" si="1"/>
        <v>0</v>
      </c>
      <c r="H16" s="21">
        <f t="shared" si="1"/>
        <v>0</v>
      </c>
      <c r="I16" s="21">
        <f t="shared" si="1"/>
        <v>0</v>
      </c>
      <c r="J16" s="21">
        <f t="shared" si="1"/>
        <v>0.1064951835113418</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0.2054687308188286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10313.774483880688</v>
      </c>
      <c r="C20" s="23">
        <f t="shared" ref="C20:P20" ca="1" si="2">C16*C18</f>
        <v>0</v>
      </c>
      <c r="D20" s="23">
        <f t="shared" ca="1" si="2"/>
        <v>10080.043845963459</v>
      </c>
      <c r="E20" s="23">
        <f t="shared" si="2"/>
        <v>216.97971513485084</v>
      </c>
      <c r="F20" s="23">
        <f t="shared" ca="1" si="2"/>
        <v>2311.0142924623483</v>
      </c>
      <c r="G20" s="23">
        <f t="shared" si="2"/>
        <v>0</v>
      </c>
      <c r="H20" s="23">
        <f t="shared" si="2"/>
        <v>0</v>
      </c>
      <c r="I20" s="23">
        <f t="shared" si="2"/>
        <v>0</v>
      </c>
      <c r="J20" s="23">
        <f t="shared" si="2"/>
        <v>3.7699294963014995E-2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8726.28400425974</v>
      </c>
      <c r="C26" s="39">
        <f>IF(ISERROR(B26*3.6/1000000/'E Balans VL '!Z12*100),0,B26*3.6/1000000/'E Balans VL '!Z12*100)</f>
        <v>0.18445982029958988</v>
      </c>
      <c r="D26" s="237" t="s">
        <v>754</v>
      </c>
      <c r="F26" s="6"/>
    </row>
    <row r="27" spans="1:18">
      <c r="A27" s="231" t="s">
        <v>53</v>
      </c>
      <c r="B27" s="33">
        <f>IF(ISERROR(TER_horeca_ele_kWh/1000),0,TER_horeca_ele_kWh/1000)</f>
        <v>4773.3321018619499</v>
      </c>
      <c r="C27" s="39">
        <f>IF(ISERROR(B27*3.6/1000000/'E Balans VL '!Z9*100),0,B27*3.6/1000000/'E Balans VL '!Z9*100)</f>
        <v>0.3762799904780762</v>
      </c>
      <c r="D27" s="237" t="s">
        <v>754</v>
      </c>
      <c r="F27" s="6"/>
    </row>
    <row r="28" spans="1:18">
      <c r="A28" s="171" t="s">
        <v>52</v>
      </c>
      <c r="B28" s="33">
        <f>IF(ISERROR(TER_handel_ele_kWh/1000),0,TER_handel_ele_kWh/1000)</f>
        <v>21598.217455583901</v>
      </c>
      <c r="C28" s="39">
        <f>IF(ISERROR(B28*3.6/1000000/'E Balans VL '!Z13*100),0,B28*3.6/1000000/'E Balans VL '!Z13*100)</f>
        <v>0.62686753713831811</v>
      </c>
      <c r="D28" s="237" t="s">
        <v>754</v>
      </c>
      <c r="F28" s="6"/>
    </row>
    <row r="29" spans="1:18">
      <c r="A29" s="231" t="s">
        <v>51</v>
      </c>
      <c r="B29" s="33">
        <f>IF(ISERROR(TER_gezond_ele_kWh/1000),0,TER_gezond_ele_kWh/1000)</f>
        <v>1001.1097468665599</v>
      </c>
      <c r="C29" s="39">
        <f>IF(ISERROR(B29*3.6/1000000/'E Balans VL '!Z10*100),0,B29*3.6/1000000/'E Balans VL '!Z10*100)</f>
        <v>0.10543329500100927</v>
      </c>
      <c r="D29" s="237" t="s">
        <v>754</v>
      </c>
      <c r="F29" s="6"/>
    </row>
    <row r="30" spans="1:18">
      <c r="A30" s="231" t="s">
        <v>50</v>
      </c>
      <c r="B30" s="33">
        <f>IF(ISERROR(TER_ander_ele_kWh/1000),0,TER_ander_ele_kWh/1000)</f>
        <v>4158.5852028768995</v>
      </c>
      <c r="C30" s="39">
        <f>IF(ISERROR(B30*3.6/1000000/'E Balans VL '!Z14*100),0,B30*3.6/1000000/'E Balans VL '!Z14*100)</f>
        <v>0.30673814780441311</v>
      </c>
      <c r="D30" s="237" t="s">
        <v>754</v>
      </c>
      <c r="F30" s="6"/>
    </row>
    <row r="31" spans="1:18">
      <c r="A31" s="231" t="s">
        <v>55</v>
      </c>
      <c r="B31" s="33">
        <f>IF(ISERROR(TER_onderwijs_ele_kWh/1000),0,TER_onderwijs_ele_kWh/1000)</f>
        <v>1049.98391511656</v>
      </c>
      <c r="C31" s="39">
        <f>IF(ISERROR(B31*3.6/1000000/'E Balans VL '!Z11*100),0,B31*3.6/1000000/'E Balans VL '!Z11*100)</f>
        <v>0.26076019026658137</v>
      </c>
      <c r="D31" s="237" t="s">
        <v>754</v>
      </c>
    </row>
    <row r="32" spans="1:18">
      <c r="A32" s="231" t="s">
        <v>260</v>
      </c>
      <c r="B32" s="33">
        <f>IF(ISERROR(TER_rest_ele_kWh/1000),0,TER_rest_ele_kWh/1000)</f>
        <v>6701.8091391466205</v>
      </c>
      <c r="C32" s="39">
        <f>IF(ISERROR(B32*3.6/1000000/'E Balans VL '!Z8*100),0,B32*3.6/1000000/'E Balans VL '!Z8*100)</f>
        <v>5.5146993467820662E-2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48338.698495423116</v>
      </c>
      <c r="C5" s="17">
        <f>IF(ISERROR('Eigen informatie GS &amp; warmtenet'!B59),0,'Eigen informatie GS &amp; warmtenet'!B59)</f>
        <v>0</v>
      </c>
      <c r="D5" s="30">
        <f>SUM(D6:D15)</f>
        <v>50770.652293768959</v>
      </c>
      <c r="E5" s="17">
        <f>SUM(E6:E15)</f>
        <v>2176.4843630806736</v>
      </c>
      <c r="F5" s="17">
        <f>SUM(F6:F15)</f>
        <v>8429.1420035487754</v>
      </c>
      <c r="G5" s="18"/>
      <c r="H5" s="17"/>
      <c r="I5" s="17"/>
      <c r="J5" s="17">
        <f>SUM(J6:J15)</f>
        <v>99.400506142070626</v>
      </c>
      <c r="K5" s="17"/>
      <c r="L5" s="17"/>
      <c r="M5" s="17"/>
      <c r="N5" s="17">
        <f>SUM(N6:N15)</f>
        <v>8813.0556118447494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3041.3691849485799</v>
      </c>
      <c r="C8" s="33"/>
      <c r="D8" s="37">
        <f>IF( ISERROR(IND_metaal_Gas_kWH/1000),0,IND_metaal_Gas_kWH/1000)*0.902</f>
        <v>519.76543610213264</v>
      </c>
      <c r="E8" s="33">
        <f>C30*'E Balans VL '!I18/100/3.6*1000000</f>
        <v>27.962452273308777</v>
      </c>
      <c r="F8" s="33">
        <f>C30*'E Balans VL '!L18/100/3.6*1000000+C30*'E Balans VL '!N18/100/3.6*1000000</f>
        <v>285.17917211826858</v>
      </c>
      <c r="G8" s="34"/>
      <c r="H8" s="33"/>
      <c r="I8" s="33"/>
      <c r="J8" s="40">
        <f>C30*'E Balans VL '!D18/100/3.6*1000000+C30*'E Balans VL '!E18/100/3.6*1000000</f>
        <v>0</v>
      </c>
      <c r="K8" s="33"/>
      <c r="L8" s="33"/>
      <c r="M8" s="33"/>
      <c r="N8" s="33">
        <f>C30*'E Balans VL '!Y18/100/3.6*1000000</f>
        <v>43.390157497522871</v>
      </c>
      <c r="O8" s="33"/>
      <c r="P8" s="33"/>
      <c r="R8" s="32"/>
    </row>
    <row r="9" spans="1:18">
      <c r="A9" s="6" t="s">
        <v>33</v>
      </c>
      <c r="B9" s="37">
        <f t="shared" si="0"/>
        <v>1993.0383276596701</v>
      </c>
      <c r="C9" s="33"/>
      <c r="D9" s="37">
        <f>IF( ISERROR(IND_andere_gas_kWh/1000),0,IND_andere_gas_kWh/1000)*0.902</f>
        <v>1398.296195003694</v>
      </c>
      <c r="E9" s="33">
        <f>C31*'E Balans VL '!I19/100/3.6*1000000</f>
        <v>582.60390305474164</v>
      </c>
      <c r="F9" s="33">
        <f>C31*'E Balans VL '!L19/100/3.6*1000000+C31*'E Balans VL '!N19/100/3.6*1000000</f>
        <v>1601.5571554141175</v>
      </c>
      <c r="G9" s="34"/>
      <c r="H9" s="33"/>
      <c r="I9" s="33"/>
      <c r="J9" s="40">
        <f>C31*'E Balans VL '!D19/100/3.6*1000000+C31*'E Balans VL '!E19/100/3.6*1000000</f>
        <v>0</v>
      </c>
      <c r="K9" s="33"/>
      <c r="L9" s="33"/>
      <c r="M9" s="33"/>
      <c r="N9" s="33">
        <f>C31*'E Balans VL '!Y19/100/3.6*1000000</f>
        <v>658.5307732917081</v>
      </c>
      <c r="O9" s="33"/>
      <c r="P9" s="33"/>
      <c r="R9" s="32"/>
    </row>
    <row r="10" spans="1:18">
      <c r="A10" s="6" t="s">
        <v>41</v>
      </c>
      <c r="B10" s="37">
        <f t="shared" si="0"/>
        <v>15106.0449840989</v>
      </c>
      <c r="C10" s="33"/>
      <c r="D10" s="37">
        <f>IF( ISERROR(IND_voed_gas_kWh/1000),0,IND_voed_gas_kWh/1000)*0.902</f>
        <v>24681.038233287727</v>
      </c>
      <c r="E10" s="33">
        <f>C32*'E Balans VL '!I20/100/3.6*1000000</f>
        <v>31.957072385862791</v>
      </c>
      <c r="F10" s="33">
        <f>C32*'E Balans VL '!L20/100/3.6*1000000+C32*'E Balans VL '!N20/100/3.6*1000000</f>
        <v>960.45777046147043</v>
      </c>
      <c r="G10" s="34"/>
      <c r="H10" s="33"/>
      <c r="I10" s="33"/>
      <c r="J10" s="40">
        <f>C32*'E Balans VL '!D20/100/3.6*1000000+C32*'E Balans VL '!E20/100/3.6*1000000</f>
        <v>0</v>
      </c>
      <c r="K10" s="33"/>
      <c r="L10" s="33"/>
      <c r="M10" s="33"/>
      <c r="N10" s="33">
        <f>C32*'E Balans VL '!Y20/100/3.6*1000000</f>
        <v>1042.4661739971925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308.42863271641102</v>
      </c>
      <c r="C12" s="33"/>
      <c r="D12" s="37">
        <f>IF( ISERROR(IND_min_gas_kWh/1000),0,IND_min_gas_kWh/1000)*0.902</f>
        <v>0</v>
      </c>
      <c r="E12" s="33">
        <f>C34*'E Balans VL '!I22/100/3.6*1000000</f>
        <v>8.9400760569308382</v>
      </c>
      <c r="F12" s="33">
        <f>C34*'E Balans VL '!L22/100/3.6*1000000+C34*'E Balans VL '!N22/100/3.6*1000000</f>
        <v>106.04124924912952</v>
      </c>
      <c r="G12" s="34"/>
      <c r="H12" s="33"/>
      <c r="I12" s="33"/>
      <c r="J12" s="40">
        <f>C34*'E Balans VL '!D22/100/3.6*1000000+C34*'E Balans VL '!E22/100/3.6*1000000</f>
        <v>0.50684118713515691</v>
      </c>
      <c r="K12" s="33"/>
      <c r="L12" s="33"/>
      <c r="M12" s="33"/>
      <c r="N12" s="33">
        <f>C34*'E Balans VL '!Y22/100/3.6*1000000</f>
        <v>67.520096199184309</v>
      </c>
      <c r="O12" s="33"/>
      <c r="P12" s="33"/>
      <c r="R12" s="32"/>
    </row>
    <row r="13" spans="1:18">
      <c r="A13" s="6" t="s">
        <v>39</v>
      </c>
      <c r="B13" s="37">
        <f t="shared" si="0"/>
        <v>277.74059934225204</v>
      </c>
      <c r="C13" s="33"/>
      <c r="D13" s="37">
        <f>IF( ISERROR(IND_papier_gas_kWh/1000),0,IND_papier_gas_kWh/1000)*0.902</f>
        <v>88.194134344826736</v>
      </c>
      <c r="E13" s="33">
        <f>C35*'E Balans VL '!I23/100/3.6*1000000</f>
        <v>0.39405039168468103</v>
      </c>
      <c r="F13" s="33">
        <f>C35*'E Balans VL '!L23/100/3.6*1000000+C35*'E Balans VL '!N23/100/3.6*1000000</f>
        <v>6.780692401933166</v>
      </c>
      <c r="G13" s="34"/>
      <c r="H13" s="33"/>
      <c r="I13" s="33"/>
      <c r="J13" s="40">
        <f>C35*'E Balans VL '!D23/100/3.6*1000000+C35*'E Balans VL '!E23/100/3.6*1000000</f>
        <v>4.2955191275925647E-2</v>
      </c>
      <c r="K13" s="33"/>
      <c r="L13" s="33"/>
      <c r="M13" s="33"/>
      <c r="N13" s="33">
        <f>C35*'E Balans VL '!Y23/100/3.6*1000000</f>
        <v>807.32617657221533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27612.076766657301</v>
      </c>
      <c r="C15" s="33"/>
      <c r="D15" s="37">
        <f>IF( ISERROR(IND_rest_gas_kWh/1000),0,IND_rest_gas_kWh/1000)*0.902</f>
        <v>24083.358295030583</v>
      </c>
      <c r="E15" s="33">
        <f>C37*'E Balans VL '!I15/100/3.6*1000000</f>
        <v>1524.6268089181449</v>
      </c>
      <c r="F15" s="33">
        <f>C37*'E Balans VL '!L15/100/3.6*1000000+C37*'E Balans VL '!N15/100/3.6*1000000</f>
        <v>5469.1259639038572</v>
      </c>
      <c r="G15" s="34"/>
      <c r="H15" s="33"/>
      <c r="I15" s="33"/>
      <c r="J15" s="40">
        <f>C37*'E Balans VL '!D15/100/3.6*1000000+C37*'E Balans VL '!E15/100/3.6*1000000</f>
        <v>98.850709763659538</v>
      </c>
      <c r="K15" s="33"/>
      <c r="L15" s="33"/>
      <c r="M15" s="33"/>
      <c r="N15" s="33">
        <f>C37*'E Balans VL '!Y15/100/3.6*1000000</f>
        <v>6193.8222342869258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48338.698495423116</v>
      </c>
      <c r="C18" s="21">
        <f>C5+C16</f>
        <v>0</v>
      </c>
      <c r="D18" s="21">
        <f>MAX((D5+D16),0)</f>
        <v>50770.652293768959</v>
      </c>
      <c r="E18" s="21">
        <f>MAX((E5+E16),0)</f>
        <v>2176.4843630806736</v>
      </c>
      <c r="F18" s="21">
        <f>MAX((F5+F16),0)</f>
        <v>8429.1420035487754</v>
      </c>
      <c r="G18" s="21"/>
      <c r="H18" s="21"/>
      <c r="I18" s="21"/>
      <c r="J18" s="21">
        <f>MAX((J5+J16),0)</f>
        <v>99.400506142070626</v>
      </c>
      <c r="K18" s="21"/>
      <c r="L18" s="21">
        <f>MAX((L5+L16),0)</f>
        <v>0</v>
      </c>
      <c r="M18" s="21"/>
      <c r="N18" s="21">
        <f>MAX((N5+N16),0)</f>
        <v>8813.0556118447494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0.2054687308188286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9932.0910292886074</v>
      </c>
      <c r="C22" s="23">
        <f ca="1">C18*C20</f>
        <v>0</v>
      </c>
      <c r="D22" s="23">
        <f>D18*D20</f>
        <v>10255.67176334133</v>
      </c>
      <c r="E22" s="23">
        <f>E18*E20</f>
        <v>494.06195041931289</v>
      </c>
      <c r="F22" s="23">
        <f>F18*F20</f>
        <v>2250.5809149475231</v>
      </c>
      <c r="G22" s="23"/>
      <c r="H22" s="23"/>
      <c r="I22" s="23"/>
      <c r="J22" s="23">
        <f>J18*J20</f>
        <v>35.187779174292999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3041.3691849485799</v>
      </c>
      <c r="C30" s="39">
        <f>IF(ISERROR(B30*3.6/1000000/'E Balans VL '!Z18*100),0,B30*3.6/1000000/'E Balans VL '!Z18*100)</f>
        <v>0.17236219029169114</v>
      </c>
      <c r="D30" s="237" t="s">
        <v>754</v>
      </c>
    </row>
    <row r="31" spans="1:18">
      <c r="A31" s="6" t="s">
        <v>33</v>
      </c>
      <c r="B31" s="37">
        <f>IF( ISERROR(IND_ander_ele_kWh/1000),0,IND_ander_ele_kWh/1000)</f>
        <v>1993.0383276596701</v>
      </c>
      <c r="C31" s="39">
        <f>IF(ISERROR(B31*3.6/1000000/'E Balans VL '!Z19*100),0,B31*3.6/1000000/'E Balans VL '!Z19*100)</f>
        <v>9.0395919675485506E-2</v>
      </c>
      <c r="D31" s="237" t="s">
        <v>754</v>
      </c>
    </row>
    <row r="32" spans="1:18">
      <c r="A32" s="171" t="s">
        <v>41</v>
      </c>
      <c r="B32" s="37">
        <f>IF( ISERROR(IND_voed_ele_kWh/1000),0,IND_voed_ele_kWh/1000)</f>
        <v>15106.0449840989</v>
      </c>
      <c r="C32" s="39">
        <f>IF(ISERROR(B32*3.6/1000000/'E Balans VL '!Z20*100),0,B32*3.6/1000000/'E Balans VL '!Z20*100)</f>
        <v>0.46729854701218754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308.42863271641102</v>
      </c>
      <c r="C34" s="39">
        <f>IF(ISERROR(B34*3.6/1000000/'E Balans VL '!Z22*100),0,B34*3.6/1000000/'E Balans VL '!Z22*100)</f>
        <v>5.5476688163167295E-2</v>
      </c>
      <c r="D34" s="237" t="s">
        <v>754</v>
      </c>
    </row>
    <row r="35" spans="1:5">
      <c r="A35" s="171" t="s">
        <v>39</v>
      </c>
      <c r="B35" s="37">
        <f>IF( ISERROR(IND_papier_ele_kWh/1000),0,IND_papier_ele_kWh/1000)</f>
        <v>277.74059934225204</v>
      </c>
      <c r="C35" s="39">
        <f>IF(ISERROR(B35*3.6/1000000/'E Balans VL '!Z22*100),0,B35*3.6/1000000/'E Balans VL '!Z22*100)</f>
        <v>4.9956868414770421E-2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27612.076766657301</v>
      </c>
      <c r="C37" s="39">
        <f>IF(ISERROR(B37*3.6/1000000/'E Balans VL '!Z15*100),0,B37*3.6/1000000/'E Balans VL '!Z15*100)</f>
        <v>0.21885961923111416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1324.2380854209241</v>
      </c>
      <c r="C5" s="17">
        <f>'Eigen informatie GS &amp; warmtenet'!B60</f>
        <v>0</v>
      </c>
      <c r="D5" s="30">
        <f>IF(ISERROR(SUM(LB_lb_gas_kWh,LB_rest_gas_kWh)/1000),0,SUM(LB_lb_gas_kWh,LB_rest_gas_kWh)/1000)*0.902</f>
        <v>355.2131695997212</v>
      </c>
      <c r="E5" s="17">
        <f>B17*'E Balans VL '!I25/3.6*1000000/100</f>
        <v>38.923402020478015</v>
      </c>
      <c r="F5" s="17">
        <f>B17*('E Balans VL '!L25/3.6*1000000+'E Balans VL '!N25/3.6*1000000)/100</f>
        <v>5516.7043057933497</v>
      </c>
      <c r="G5" s="18"/>
      <c r="H5" s="17"/>
      <c r="I5" s="17"/>
      <c r="J5" s="17">
        <f>('E Balans VL '!D25+'E Balans VL '!E25)/3.6*1000000*landbouw!B17/100</f>
        <v>191.85366023907704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1324.2380854209241</v>
      </c>
      <c r="C8" s="21">
        <f>C5+C6</f>
        <v>0</v>
      </c>
      <c r="D8" s="21">
        <f>MAX((D5+D6),0)</f>
        <v>355.2131695997212</v>
      </c>
      <c r="E8" s="21">
        <f>MAX((E5+E6),0)</f>
        <v>38.923402020478015</v>
      </c>
      <c r="F8" s="21">
        <f>MAX((F5+F6),0)</f>
        <v>5516.7043057933497</v>
      </c>
      <c r="G8" s="21"/>
      <c r="H8" s="21"/>
      <c r="I8" s="21"/>
      <c r="J8" s="21">
        <f>MAX((J5+J6),0)</f>
        <v>191.85366023907704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0.2054687308188286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272.08951871339281</v>
      </c>
      <c r="C12" s="23">
        <f ca="1">C8*C10</f>
        <v>0</v>
      </c>
      <c r="D12" s="23">
        <f>D8*D10</f>
        <v>71.75306025914368</v>
      </c>
      <c r="E12" s="23">
        <f>E8*E10</f>
        <v>8.83561225864851</v>
      </c>
      <c r="F12" s="23">
        <f>F8*F10</f>
        <v>1472.9600496468245</v>
      </c>
      <c r="G12" s="23"/>
      <c r="H12" s="23"/>
      <c r="I12" s="23"/>
      <c r="J12" s="23">
        <f>J8*J10</f>
        <v>67.916195724633269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0.18791353899151761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607.09383629394233</v>
      </c>
      <c r="C26" s="247">
        <f>B26*'GWP N2O_CH4'!B5</f>
        <v>12748.970562172788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94.732215276271035</v>
      </c>
      <c r="C27" s="247">
        <f>B27*'GWP N2O_CH4'!B5</f>
        <v>1989.3765208016916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7.7477815373364152</v>
      </c>
      <c r="C28" s="247">
        <f>B28*'GWP N2O_CH4'!B4</f>
        <v>2401.8122765742887</v>
      </c>
      <c r="D28" s="50"/>
    </row>
    <row r="29" spans="1:4">
      <c r="A29" s="41" t="s">
        <v>277</v>
      </c>
      <c r="B29" s="247">
        <f>B34*'ha_N2O bodem landbouw'!B4</f>
        <v>25.432243041001751</v>
      </c>
      <c r="C29" s="247">
        <f>B29*'GWP N2O_CH4'!B4</f>
        <v>7883.9953427105429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5.8035502185480809E-3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2.9860364570153736E-4</v>
      </c>
      <c r="C5" s="463" t="s">
        <v>211</v>
      </c>
      <c r="D5" s="448">
        <f>SUM(D6:D11)</f>
        <v>1.0870183179508698E-3</v>
      </c>
      <c r="E5" s="448">
        <f>SUM(E6:E11)</f>
        <v>1.4408758796880324E-3</v>
      </c>
      <c r="F5" s="461" t="s">
        <v>211</v>
      </c>
      <c r="G5" s="448">
        <f>SUM(G6:G11)</f>
        <v>0.59874080954500142</v>
      </c>
      <c r="H5" s="448">
        <f>SUM(H6:H11)</f>
        <v>0.12230340271743853</v>
      </c>
      <c r="I5" s="463" t="s">
        <v>211</v>
      </c>
      <c r="J5" s="463" t="s">
        <v>211</v>
      </c>
      <c r="K5" s="463" t="s">
        <v>211</v>
      </c>
      <c r="L5" s="463" t="s">
        <v>211</v>
      </c>
      <c r="M5" s="448">
        <f>SUM(M6:M11)</f>
        <v>3.8589750851887185E-2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2.1659309367617416E-4</v>
      </c>
      <c r="C6" s="449"/>
      <c r="D6" s="892">
        <f>vkm_2011_GW_PW*SUMIFS(TableVerdeelsleutelVkm[CNG],TableVerdeelsleutelVkm[Voertuigtype],"Lichte voertuigen")*SUMIFS(TableECFTransport[EnergieConsumptieFactor (PJ per km)],TableECFTransport[Index],CONCATENATE($A6,"_CNG_CNG"))</f>
        <v>6.4965496790039725E-4</v>
      </c>
      <c r="E6" s="892">
        <f>vkm_2011_GW_PW*SUMIFS(TableVerdeelsleutelVkm[LPG],TableVerdeelsleutelVkm[Voertuigtype],"Lichte voertuigen")*SUMIFS(TableECFTransport[EnergieConsumptieFactor (PJ per km)],TableECFTransport[Index],CONCATENATE($A6,"_LPG_LPG"))</f>
        <v>8.875220044891434E-4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0.22947250571985811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7.3890777320520448E-2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1.5586582879516059E-2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0.20368055553682041</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6.2077694517704329E-5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1.1902404486382745E-2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8.2010552025363188E-5</v>
      </c>
      <c r="C8" s="449"/>
      <c r="D8" s="451">
        <f>vkm_2011_NGW_PW*SUMIFS(TableVerdeelsleutelVkm[CNG],TableVerdeelsleutelVkm[Voertuigtype],"Lichte voertuigen")*SUMIFS(TableECFTransport[EnergieConsumptieFactor (PJ per km)],TableECFTransport[Index],CONCATENATE($A8,"_CNG_CNG"))</f>
        <v>4.3736335005047257E-4</v>
      </c>
      <c r="E8" s="451">
        <f>vkm_2011_NGW_PW*SUMIFS(TableVerdeelsleutelVkm[LPG],TableVerdeelsleutelVkm[Voertuigtype],"Lichte voertuigen")*SUMIFS(TableECFTransport[EnergieConsumptieFactor (PJ per km)],TableECFTransport[Index],CONCATENATE($A8,"_LPG_LPG"))</f>
        <v>5.5335387519888908E-4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0.13332791542002639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4.83412915909869E-2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9.2156246788486877E-3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3.225983286829652E-2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9.2561114134694714E-6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1.8851388071396908E-3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82.945457139315934</v>
      </c>
      <c r="C14" s="21"/>
      <c r="D14" s="21">
        <f t="shared" ref="D14:M14" si="0">((D5)*10^9/3600)+D12</f>
        <v>301.94953276413048</v>
      </c>
      <c r="E14" s="21">
        <f t="shared" si="0"/>
        <v>400.24329991334236</v>
      </c>
      <c r="F14" s="21"/>
      <c r="G14" s="21">
        <f t="shared" si="0"/>
        <v>166316.89154027816</v>
      </c>
      <c r="H14" s="21">
        <f t="shared" si="0"/>
        <v>33973.167421510705</v>
      </c>
      <c r="I14" s="21"/>
      <c r="J14" s="21"/>
      <c r="K14" s="21"/>
      <c r="L14" s="21"/>
      <c r="M14" s="21">
        <f t="shared" si="0"/>
        <v>10719.375236635327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0.2054687308188286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17.042697805602792</v>
      </c>
      <c r="C18" s="23"/>
      <c r="D18" s="23">
        <f t="shared" ref="D18:M18" si="1">D14*D16</f>
        <v>60.993805618354358</v>
      </c>
      <c r="E18" s="23">
        <f t="shared" si="1"/>
        <v>90.855229080328712</v>
      </c>
      <c r="F18" s="23"/>
      <c r="G18" s="23">
        <f t="shared" si="1"/>
        <v>44406.610041254273</v>
      </c>
      <c r="H18" s="23">
        <f t="shared" si="1"/>
        <v>8459.3186879561654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1.0203984457579047E-2</v>
      </c>
      <c r="H50" s="321">
        <f t="shared" si="2"/>
        <v>0</v>
      </c>
      <c r="I50" s="321">
        <f t="shared" si="2"/>
        <v>0</v>
      </c>
      <c r="J50" s="321">
        <f t="shared" si="2"/>
        <v>0</v>
      </c>
      <c r="K50" s="321">
        <f t="shared" si="2"/>
        <v>0</v>
      </c>
      <c r="L50" s="321">
        <f t="shared" si="2"/>
        <v>0</v>
      </c>
      <c r="M50" s="321">
        <f t="shared" si="2"/>
        <v>5.79541270921675E-4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1.0203984457579047E-2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5.79541270921675E-4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2834.4401271052907</v>
      </c>
      <c r="H54" s="21">
        <f t="shared" si="3"/>
        <v>0</v>
      </c>
      <c r="I54" s="21">
        <f t="shared" si="3"/>
        <v>0</v>
      </c>
      <c r="J54" s="21">
        <f t="shared" si="3"/>
        <v>0</v>
      </c>
      <c r="K54" s="21">
        <f t="shared" si="3"/>
        <v>0</v>
      </c>
      <c r="L54" s="21">
        <f t="shared" si="3"/>
        <v>0</v>
      </c>
      <c r="M54" s="21">
        <f t="shared" si="3"/>
        <v>160.98368636713195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0.2054687308188286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756.79551393711267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52790.001565712235</v>
      </c>
      <c r="D10" s="1013">
        <f ca="1">tertiair!C16</f>
        <v>0</v>
      </c>
      <c r="E10" s="1013">
        <f ca="1">tertiair!D16</f>
        <v>49901.207158234938</v>
      </c>
      <c r="F10" s="1013">
        <f>tertiair!E16</f>
        <v>955.85777592445299</v>
      </c>
      <c r="G10" s="1013">
        <f ca="1">tertiair!F16</f>
        <v>8655.4842414320156</v>
      </c>
      <c r="H10" s="1013">
        <f>tertiair!G16</f>
        <v>0</v>
      </c>
      <c r="I10" s="1013">
        <f>tertiair!H16</f>
        <v>0</v>
      </c>
      <c r="J10" s="1013">
        <f>tertiair!I16</f>
        <v>0</v>
      </c>
      <c r="K10" s="1013">
        <f>tertiair!J16</f>
        <v>0.1064951835113418</v>
      </c>
      <c r="L10" s="1013">
        <f>tertiair!K16</f>
        <v>0</v>
      </c>
      <c r="M10" s="1013">
        <f ca="1">tertiair!L16</f>
        <v>0</v>
      </c>
      <c r="N10" s="1013">
        <f>tertiair!M16</f>
        <v>0</v>
      </c>
      <c r="O10" s="1013">
        <f ca="1">tertiair!N16</f>
        <v>0</v>
      </c>
      <c r="P10" s="1013">
        <f>tertiair!O16</f>
        <v>4.6900000000000004</v>
      </c>
      <c r="Q10" s="1014">
        <f>tertiair!P16</f>
        <v>57.2</v>
      </c>
      <c r="R10" s="700">
        <f ca="1">SUM(C10:Q10)</f>
        <v>112364.54723648715</v>
      </c>
      <c r="S10" s="67"/>
    </row>
    <row r="11" spans="1:19" s="473" customFormat="1">
      <c r="A11" s="809" t="s">
        <v>225</v>
      </c>
      <c r="B11" s="814"/>
      <c r="C11" s="1013">
        <f>huishoudens!B8</f>
        <v>67818.66435963253</v>
      </c>
      <c r="D11" s="1013">
        <f>huishoudens!C8</f>
        <v>0</v>
      </c>
      <c r="E11" s="1013">
        <f>huishoudens!D8</f>
        <v>118170.0597262855</v>
      </c>
      <c r="F11" s="1013">
        <f>huishoudens!E8</f>
        <v>9913.3308957020527</v>
      </c>
      <c r="G11" s="1013">
        <f>huishoudens!F8</f>
        <v>78850.543452661645</v>
      </c>
      <c r="H11" s="1013">
        <f>huishoudens!G8</f>
        <v>0</v>
      </c>
      <c r="I11" s="1013">
        <f>huishoudens!H8</f>
        <v>0</v>
      </c>
      <c r="J11" s="1013">
        <f>huishoudens!I8</f>
        <v>0</v>
      </c>
      <c r="K11" s="1013">
        <f>huishoudens!J8</f>
        <v>2545.7956070565569</v>
      </c>
      <c r="L11" s="1013">
        <f>huishoudens!K8</f>
        <v>0</v>
      </c>
      <c r="M11" s="1013">
        <f>huishoudens!L8</f>
        <v>0</v>
      </c>
      <c r="N11" s="1013">
        <f>huishoudens!M8</f>
        <v>0</v>
      </c>
      <c r="O11" s="1013">
        <f>huishoudens!N8</f>
        <v>37917.253910180698</v>
      </c>
      <c r="P11" s="1013">
        <f>huishoudens!O8</f>
        <v>434.60666666666674</v>
      </c>
      <c r="Q11" s="1014">
        <f>huishoudens!P8</f>
        <v>1696.9333333333334</v>
      </c>
      <c r="R11" s="700">
        <f>SUM(C11:Q11)</f>
        <v>317347.1879515191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48338.698495423116</v>
      </c>
      <c r="D13" s="1013">
        <f>industrie!C18</f>
        <v>0</v>
      </c>
      <c r="E13" s="1013">
        <f>industrie!D18</f>
        <v>50770.652293768959</v>
      </c>
      <c r="F13" s="1013">
        <f>industrie!E18</f>
        <v>2176.4843630806736</v>
      </c>
      <c r="G13" s="1013">
        <f>industrie!F18</f>
        <v>8429.1420035487754</v>
      </c>
      <c r="H13" s="1013">
        <f>industrie!G18</f>
        <v>0</v>
      </c>
      <c r="I13" s="1013">
        <f>industrie!H18</f>
        <v>0</v>
      </c>
      <c r="J13" s="1013">
        <f>industrie!I18</f>
        <v>0</v>
      </c>
      <c r="K13" s="1013">
        <f>industrie!J18</f>
        <v>99.400506142070626</v>
      </c>
      <c r="L13" s="1013">
        <f>industrie!K18</f>
        <v>0</v>
      </c>
      <c r="M13" s="1013">
        <f>industrie!L18</f>
        <v>0</v>
      </c>
      <c r="N13" s="1013">
        <f>industrie!M18</f>
        <v>0</v>
      </c>
      <c r="O13" s="1013">
        <f>industrie!N18</f>
        <v>8813.0556118447494</v>
      </c>
      <c r="P13" s="1013">
        <f>industrie!O18</f>
        <v>0</v>
      </c>
      <c r="Q13" s="1014">
        <f>industrie!P18</f>
        <v>0</v>
      </c>
      <c r="R13" s="700">
        <f>SUM(C13:Q13)</f>
        <v>118627.43327380833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168947.36442076787</v>
      </c>
      <c r="D16" s="732">
        <f t="shared" ref="D16:R16" ca="1" si="0">SUM(D9:D15)</f>
        <v>0</v>
      </c>
      <c r="E16" s="732">
        <f t="shared" ca="1" si="0"/>
        <v>218841.91917828942</v>
      </c>
      <c r="F16" s="732">
        <f t="shared" si="0"/>
        <v>13045.673034707179</v>
      </c>
      <c r="G16" s="732">
        <f t="shared" ca="1" si="0"/>
        <v>95935.169697642443</v>
      </c>
      <c r="H16" s="732">
        <f t="shared" si="0"/>
        <v>0</v>
      </c>
      <c r="I16" s="732">
        <f t="shared" si="0"/>
        <v>0</v>
      </c>
      <c r="J16" s="732">
        <f t="shared" si="0"/>
        <v>0</v>
      </c>
      <c r="K16" s="732">
        <f t="shared" si="0"/>
        <v>2645.3026083821392</v>
      </c>
      <c r="L16" s="732">
        <f t="shared" si="0"/>
        <v>0</v>
      </c>
      <c r="M16" s="732">
        <f t="shared" ca="1" si="0"/>
        <v>0</v>
      </c>
      <c r="N16" s="732">
        <f t="shared" si="0"/>
        <v>0</v>
      </c>
      <c r="O16" s="732">
        <f t="shared" ca="1" si="0"/>
        <v>46730.309522025447</v>
      </c>
      <c r="P16" s="732">
        <f t="shared" si="0"/>
        <v>439.29666666666674</v>
      </c>
      <c r="Q16" s="732">
        <f t="shared" si="0"/>
        <v>1754.1333333333334</v>
      </c>
      <c r="R16" s="732">
        <f t="shared" ca="1" si="0"/>
        <v>548339.16846181452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2834.4401271052907</v>
      </c>
      <c r="I19" s="1013">
        <f>transport!H54</f>
        <v>0</v>
      </c>
      <c r="J19" s="1013">
        <f>transport!I54</f>
        <v>0</v>
      </c>
      <c r="K19" s="1013">
        <f>transport!J54</f>
        <v>0</v>
      </c>
      <c r="L19" s="1013">
        <f>transport!K54</f>
        <v>0</v>
      </c>
      <c r="M19" s="1013">
        <f>transport!L54</f>
        <v>0</v>
      </c>
      <c r="N19" s="1013">
        <f>transport!M54</f>
        <v>160.98368636713195</v>
      </c>
      <c r="O19" s="1013">
        <f>transport!N54</f>
        <v>0</v>
      </c>
      <c r="P19" s="1013">
        <f>transport!O54</f>
        <v>0</v>
      </c>
      <c r="Q19" s="1014">
        <f>transport!P54</f>
        <v>0</v>
      </c>
      <c r="R19" s="700">
        <f>SUM(C19:Q19)</f>
        <v>2995.4238134724228</v>
      </c>
      <c r="S19" s="67"/>
    </row>
    <row r="20" spans="1:19" s="473" customFormat="1">
      <c r="A20" s="809" t="s">
        <v>307</v>
      </c>
      <c r="B20" s="814"/>
      <c r="C20" s="1013">
        <f>transport!B14</f>
        <v>82.945457139315934</v>
      </c>
      <c r="D20" s="1013">
        <f>transport!C14</f>
        <v>0</v>
      </c>
      <c r="E20" s="1013">
        <f>transport!D14</f>
        <v>301.94953276413048</v>
      </c>
      <c r="F20" s="1013">
        <f>transport!E14</f>
        <v>400.24329991334236</v>
      </c>
      <c r="G20" s="1013">
        <f>transport!F14</f>
        <v>0</v>
      </c>
      <c r="H20" s="1013">
        <f>transport!G14</f>
        <v>166316.89154027816</v>
      </c>
      <c r="I20" s="1013">
        <f>transport!H14</f>
        <v>33973.167421510705</v>
      </c>
      <c r="J20" s="1013">
        <f>transport!I14</f>
        <v>0</v>
      </c>
      <c r="K20" s="1013">
        <f>transport!J14</f>
        <v>0</v>
      </c>
      <c r="L20" s="1013">
        <f>transport!K14</f>
        <v>0</v>
      </c>
      <c r="M20" s="1013">
        <f>transport!L14</f>
        <v>0</v>
      </c>
      <c r="N20" s="1013">
        <f>transport!M14</f>
        <v>10719.375236635327</v>
      </c>
      <c r="O20" s="1013">
        <f>transport!N14</f>
        <v>0</v>
      </c>
      <c r="P20" s="1013">
        <f>transport!O14</f>
        <v>0</v>
      </c>
      <c r="Q20" s="1014">
        <f>transport!P14</f>
        <v>0</v>
      </c>
      <c r="R20" s="700">
        <f>SUM(C20:Q20)</f>
        <v>211794.57248824098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82.945457139315934</v>
      </c>
      <c r="D22" s="812">
        <f t="shared" ref="D22:R22" si="1">SUM(D18:D21)</f>
        <v>0</v>
      </c>
      <c r="E22" s="812">
        <f t="shared" si="1"/>
        <v>301.94953276413048</v>
      </c>
      <c r="F22" s="812">
        <f t="shared" si="1"/>
        <v>400.24329991334236</v>
      </c>
      <c r="G22" s="812">
        <f t="shared" si="1"/>
        <v>0</v>
      </c>
      <c r="H22" s="812">
        <f t="shared" si="1"/>
        <v>169151.33166738343</v>
      </c>
      <c r="I22" s="812">
        <f t="shared" si="1"/>
        <v>33973.167421510705</v>
      </c>
      <c r="J22" s="812">
        <f t="shared" si="1"/>
        <v>0</v>
      </c>
      <c r="K22" s="812">
        <f t="shared" si="1"/>
        <v>0</v>
      </c>
      <c r="L22" s="812">
        <f t="shared" si="1"/>
        <v>0</v>
      </c>
      <c r="M22" s="812">
        <f t="shared" si="1"/>
        <v>0</v>
      </c>
      <c r="N22" s="812">
        <f t="shared" si="1"/>
        <v>10880.358923002459</v>
      </c>
      <c r="O22" s="812">
        <f t="shared" si="1"/>
        <v>0</v>
      </c>
      <c r="P22" s="812">
        <f t="shared" si="1"/>
        <v>0</v>
      </c>
      <c r="Q22" s="812">
        <f t="shared" si="1"/>
        <v>0</v>
      </c>
      <c r="R22" s="812">
        <f t="shared" si="1"/>
        <v>214789.9963017134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1324.2380854209241</v>
      </c>
      <c r="D24" s="1013">
        <f>+landbouw!C8</f>
        <v>0</v>
      </c>
      <c r="E24" s="1013">
        <f>+landbouw!D8</f>
        <v>355.2131695997212</v>
      </c>
      <c r="F24" s="1013">
        <f>+landbouw!E8</f>
        <v>38.923402020478015</v>
      </c>
      <c r="G24" s="1013">
        <f>+landbouw!F8</f>
        <v>5516.7043057933497</v>
      </c>
      <c r="H24" s="1013">
        <f>+landbouw!G8</f>
        <v>0</v>
      </c>
      <c r="I24" s="1013">
        <f>+landbouw!H8</f>
        <v>0</v>
      </c>
      <c r="J24" s="1013">
        <f>+landbouw!I8</f>
        <v>0</v>
      </c>
      <c r="K24" s="1013">
        <f>+landbouw!J8</f>
        <v>191.85366023907704</v>
      </c>
      <c r="L24" s="1013">
        <f>+landbouw!K8</f>
        <v>0</v>
      </c>
      <c r="M24" s="1013">
        <f>+landbouw!L8</f>
        <v>0</v>
      </c>
      <c r="N24" s="1013">
        <f>+landbouw!M8</f>
        <v>0</v>
      </c>
      <c r="O24" s="1013">
        <f>+landbouw!N8</f>
        <v>0</v>
      </c>
      <c r="P24" s="1013">
        <f>+landbouw!O8</f>
        <v>0</v>
      </c>
      <c r="Q24" s="1014">
        <f>+landbouw!P8</f>
        <v>0</v>
      </c>
      <c r="R24" s="700">
        <f>SUM(C24:Q24)</f>
        <v>7426.9326230735496</v>
      </c>
      <c r="S24" s="67"/>
    </row>
    <row r="25" spans="1:19" s="473" customFormat="1" ht="15" thickBot="1">
      <c r="A25" s="831" t="s">
        <v>836</v>
      </c>
      <c r="B25" s="1016"/>
      <c r="C25" s="1017">
        <f>IF(Onbekend_ele_kWh="---",0,Onbekend_ele_kWh)/1000+IF(REST_rest_ele_kWh="---",0,REST_rest_ele_kWh)/1000</f>
        <v>1936.8478952032499</v>
      </c>
      <c r="D25" s="1017"/>
      <c r="E25" s="1017">
        <f>IF(onbekend_gas_kWh="---",0,onbekend_gas_kWh)/1000+IF(REST_rest_gas_kWh="---",0,REST_rest_gas_kWh)/1000</f>
        <v>3938.4694566523699</v>
      </c>
      <c r="F25" s="1017"/>
      <c r="G25" s="1017"/>
      <c r="H25" s="1017"/>
      <c r="I25" s="1017"/>
      <c r="J25" s="1017"/>
      <c r="K25" s="1017"/>
      <c r="L25" s="1017"/>
      <c r="M25" s="1017"/>
      <c r="N25" s="1017"/>
      <c r="O25" s="1017"/>
      <c r="P25" s="1017"/>
      <c r="Q25" s="1018"/>
      <c r="R25" s="700">
        <f>SUM(C25:Q25)</f>
        <v>5875.3173518556196</v>
      </c>
      <c r="S25" s="67"/>
    </row>
    <row r="26" spans="1:19" s="473" customFormat="1" ht="15.75" thickBot="1">
      <c r="A26" s="705" t="s">
        <v>837</v>
      </c>
      <c r="B26" s="817"/>
      <c r="C26" s="812">
        <f>SUM(C24:C25)</f>
        <v>3261.0859806241742</v>
      </c>
      <c r="D26" s="812">
        <f t="shared" ref="D26:R26" si="2">SUM(D24:D25)</f>
        <v>0</v>
      </c>
      <c r="E26" s="812">
        <f t="shared" si="2"/>
        <v>4293.6826262520908</v>
      </c>
      <c r="F26" s="812">
        <f t="shared" si="2"/>
        <v>38.923402020478015</v>
      </c>
      <c r="G26" s="812">
        <f t="shared" si="2"/>
        <v>5516.7043057933497</v>
      </c>
      <c r="H26" s="812">
        <f t="shared" si="2"/>
        <v>0</v>
      </c>
      <c r="I26" s="812">
        <f t="shared" si="2"/>
        <v>0</v>
      </c>
      <c r="J26" s="812">
        <f t="shared" si="2"/>
        <v>0</v>
      </c>
      <c r="K26" s="812">
        <f t="shared" si="2"/>
        <v>191.85366023907704</v>
      </c>
      <c r="L26" s="812">
        <f t="shared" si="2"/>
        <v>0</v>
      </c>
      <c r="M26" s="812">
        <f t="shared" si="2"/>
        <v>0</v>
      </c>
      <c r="N26" s="812">
        <f t="shared" si="2"/>
        <v>0</v>
      </c>
      <c r="O26" s="812">
        <f t="shared" si="2"/>
        <v>0</v>
      </c>
      <c r="P26" s="812">
        <f t="shared" si="2"/>
        <v>0</v>
      </c>
      <c r="Q26" s="812">
        <f t="shared" si="2"/>
        <v>0</v>
      </c>
      <c r="R26" s="812">
        <f t="shared" si="2"/>
        <v>13302.249974929169</v>
      </c>
      <c r="S26" s="67"/>
    </row>
    <row r="27" spans="1:19" s="473" customFormat="1" ht="17.25" thickTop="1" thickBot="1">
      <c r="A27" s="706" t="s">
        <v>116</v>
      </c>
      <c r="B27" s="805"/>
      <c r="C27" s="707">
        <f ca="1">C22+C16+C26</f>
        <v>172291.39585853135</v>
      </c>
      <c r="D27" s="707">
        <f t="shared" ref="D27:R27" ca="1" si="3">D22+D16+D26</f>
        <v>0</v>
      </c>
      <c r="E27" s="707">
        <f t="shared" ca="1" si="3"/>
        <v>223437.55133730563</v>
      </c>
      <c r="F27" s="707">
        <f t="shared" si="3"/>
        <v>13484.839736640999</v>
      </c>
      <c r="G27" s="707">
        <f t="shared" ca="1" si="3"/>
        <v>101451.87400343579</v>
      </c>
      <c r="H27" s="707">
        <f t="shared" si="3"/>
        <v>169151.33166738343</v>
      </c>
      <c r="I27" s="707">
        <f t="shared" si="3"/>
        <v>33973.167421510705</v>
      </c>
      <c r="J27" s="707">
        <f t="shared" si="3"/>
        <v>0</v>
      </c>
      <c r="K27" s="707">
        <f t="shared" si="3"/>
        <v>2837.1562686212164</v>
      </c>
      <c r="L27" s="707">
        <f t="shared" si="3"/>
        <v>0</v>
      </c>
      <c r="M27" s="707">
        <f t="shared" ca="1" si="3"/>
        <v>0</v>
      </c>
      <c r="N27" s="707">
        <f t="shared" si="3"/>
        <v>10880.358923002459</v>
      </c>
      <c r="O27" s="707">
        <f t="shared" ca="1" si="3"/>
        <v>46730.309522025447</v>
      </c>
      <c r="P27" s="707">
        <f t="shared" si="3"/>
        <v>439.29666666666674</v>
      </c>
      <c r="Q27" s="707">
        <f t="shared" si="3"/>
        <v>1754.1333333333334</v>
      </c>
      <c r="R27" s="707">
        <f t="shared" ca="1" si="3"/>
        <v>776431.41473845707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10846.694621630868</v>
      </c>
      <c r="D40" s="1013">
        <f ca="1">tertiair!C20</f>
        <v>0</v>
      </c>
      <c r="E40" s="1013">
        <f ca="1">tertiair!D20</f>
        <v>10080.043845963459</v>
      </c>
      <c r="F40" s="1013">
        <f>tertiair!E20</f>
        <v>216.97971513485084</v>
      </c>
      <c r="G40" s="1013">
        <f ca="1">tertiair!F20</f>
        <v>2311.0142924623483</v>
      </c>
      <c r="H40" s="1013">
        <f>tertiair!G20</f>
        <v>0</v>
      </c>
      <c r="I40" s="1013">
        <f>tertiair!H20</f>
        <v>0</v>
      </c>
      <c r="J40" s="1013">
        <f>tertiair!I20</f>
        <v>0</v>
      </c>
      <c r="K40" s="1013">
        <f>tertiair!J20</f>
        <v>3.7699294963014995E-2</v>
      </c>
      <c r="L40" s="1013">
        <f>tertiair!K20</f>
        <v>0</v>
      </c>
      <c r="M40" s="1013">
        <f ca="1">tertiair!L20</f>
        <v>0</v>
      </c>
      <c r="N40" s="1013">
        <f>tertiair!M20</f>
        <v>0</v>
      </c>
      <c r="O40" s="1013">
        <f ca="1">tertiair!N20</f>
        <v>0</v>
      </c>
      <c r="P40" s="1013">
        <f>tertiair!O20</f>
        <v>0</v>
      </c>
      <c r="Q40" s="774">
        <f>tertiair!P20</f>
        <v>0</v>
      </c>
      <c r="R40" s="850">
        <f t="shared" ca="1" si="4"/>
        <v>23454.770174486486</v>
      </c>
    </row>
    <row r="41" spans="1:18">
      <c r="A41" s="822" t="s">
        <v>225</v>
      </c>
      <c r="B41" s="829"/>
      <c r="C41" s="1013">
        <f ca="1">huishoudens!B12</f>
        <v>13934.614891801821</v>
      </c>
      <c r="D41" s="1013">
        <f ca="1">huishoudens!C12</f>
        <v>0</v>
      </c>
      <c r="E41" s="1013">
        <f>huishoudens!D12</f>
        <v>23870.352064709674</v>
      </c>
      <c r="F41" s="1013">
        <f>huishoudens!E12</f>
        <v>2250.3261133243659</v>
      </c>
      <c r="G41" s="1013">
        <f>huishoudens!F12</f>
        <v>21053.095101860661</v>
      </c>
      <c r="H41" s="1013">
        <f>huishoudens!G12</f>
        <v>0</v>
      </c>
      <c r="I41" s="1013">
        <f>huishoudens!H12</f>
        <v>0</v>
      </c>
      <c r="J41" s="1013">
        <f>huishoudens!I12</f>
        <v>0</v>
      </c>
      <c r="K41" s="1013">
        <f>huishoudens!J12</f>
        <v>901.21164489802106</v>
      </c>
      <c r="L41" s="1013">
        <f>huishoudens!K12</f>
        <v>0</v>
      </c>
      <c r="M41" s="1013">
        <f>huishoudens!L12</f>
        <v>0</v>
      </c>
      <c r="N41" s="1013">
        <f>huishoudens!M12</f>
        <v>0</v>
      </c>
      <c r="O41" s="1013">
        <f>huishoudens!N12</f>
        <v>0</v>
      </c>
      <c r="P41" s="1013">
        <f>huishoudens!O12</f>
        <v>0</v>
      </c>
      <c r="Q41" s="774">
        <f>huishoudens!P12</f>
        <v>0</v>
      </c>
      <c r="R41" s="850">
        <f t="shared" ca="1" si="4"/>
        <v>62009.599816594549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9932.0910292886074</v>
      </c>
      <c r="D43" s="1013">
        <f ca="1">industrie!C22</f>
        <v>0</v>
      </c>
      <c r="E43" s="1013">
        <f>industrie!D22</f>
        <v>10255.67176334133</v>
      </c>
      <c r="F43" s="1013">
        <f>industrie!E22</f>
        <v>494.06195041931289</v>
      </c>
      <c r="G43" s="1013">
        <f>industrie!F22</f>
        <v>2250.5809149475231</v>
      </c>
      <c r="H43" s="1013">
        <f>industrie!G22</f>
        <v>0</v>
      </c>
      <c r="I43" s="1013">
        <f>industrie!H22</f>
        <v>0</v>
      </c>
      <c r="J43" s="1013">
        <f>industrie!I22</f>
        <v>0</v>
      </c>
      <c r="K43" s="1013">
        <f>industrie!J22</f>
        <v>35.187779174292999</v>
      </c>
      <c r="L43" s="1013">
        <f>industrie!K22</f>
        <v>0</v>
      </c>
      <c r="M43" s="1013">
        <f>industrie!L22</f>
        <v>0</v>
      </c>
      <c r="N43" s="1013">
        <f>industrie!M22</f>
        <v>0</v>
      </c>
      <c r="O43" s="1013">
        <f>industrie!N22</f>
        <v>0</v>
      </c>
      <c r="P43" s="1013">
        <f>industrie!O22</f>
        <v>0</v>
      </c>
      <c r="Q43" s="774">
        <f>industrie!P22</f>
        <v>0</v>
      </c>
      <c r="R43" s="849">
        <f t="shared" ca="1" si="4"/>
        <v>22967.593437171068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34713.400542721298</v>
      </c>
      <c r="D46" s="732">
        <f t="shared" ref="D46:Q46" ca="1" si="5">SUM(D39:D45)</f>
        <v>0</v>
      </c>
      <c r="E46" s="732">
        <f t="shared" ca="1" si="5"/>
        <v>44206.067674014463</v>
      </c>
      <c r="F46" s="732">
        <f t="shared" si="5"/>
        <v>2961.3677788785294</v>
      </c>
      <c r="G46" s="732">
        <f t="shared" ca="1" si="5"/>
        <v>25614.690309270532</v>
      </c>
      <c r="H46" s="732">
        <f t="shared" si="5"/>
        <v>0</v>
      </c>
      <c r="I46" s="732">
        <f t="shared" si="5"/>
        <v>0</v>
      </c>
      <c r="J46" s="732">
        <f t="shared" si="5"/>
        <v>0</v>
      </c>
      <c r="K46" s="732">
        <f t="shared" si="5"/>
        <v>936.43712336727708</v>
      </c>
      <c r="L46" s="732">
        <f t="shared" si="5"/>
        <v>0</v>
      </c>
      <c r="M46" s="732">
        <f t="shared" ca="1" si="5"/>
        <v>0</v>
      </c>
      <c r="N46" s="732">
        <f t="shared" si="5"/>
        <v>0</v>
      </c>
      <c r="O46" s="732">
        <f t="shared" ca="1" si="5"/>
        <v>0</v>
      </c>
      <c r="P46" s="732">
        <f t="shared" si="5"/>
        <v>0</v>
      </c>
      <c r="Q46" s="732">
        <f t="shared" si="5"/>
        <v>0</v>
      </c>
      <c r="R46" s="732">
        <f ca="1">SUM(R39:R45)</f>
        <v>108431.96342825211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756.79551393711267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756.79551393711267</v>
      </c>
    </row>
    <row r="50" spans="1:18">
      <c r="A50" s="825" t="s">
        <v>307</v>
      </c>
      <c r="B50" s="835"/>
      <c r="C50" s="703">
        <f ca="1">transport!B18</f>
        <v>17.042697805602792</v>
      </c>
      <c r="D50" s="703">
        <f>transport!C18</f>
        <v>0</v>
      </c>
      <c r="E50" s="703">
        <f>transport!D18</f>
        <v>60.993805618354358</v>
      </c>
      <c r="F50" s="703">
        <f>transport!E18</f>
        <v>90.855229080328712</v>
      </c>
      <c r="G50" s="703">
        <f>transport!F18</f>
        <v>0</v>
      </c>
      <c r="H50" s="703">
        <f>transport!G18</f>
        <v>44406.610041254273</v>
      </c>
      <c r="I50" s="703">
        <f>transport!H18</f>
        <v>8459.3186879561654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53034.820461714728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17.042697805602792</v>
      </c>
      <c r="D52" s="732">
        <f t="shared" ref="D52:Q52" ca="1" si="6">SUM(D48:D51)</f>
        <v>0</v>
      </c>
      <c r="E52" s="732">
        <f t="shared" si="6"/>
        <v>60.993805618354358</v>
      </c>
      <c r="F52" s="732">
        <f t="shared" si="6"/>
        <v>90.855229080328712</v>
      </c>
      <c r="G52" s="732">
        <f t="shared" si="6"/>
        <v>0</v>
      </c>
      <c r="H52" s="732">
        <f t="shared" si="6"/>
        <v>45163.405555191384</v>
      </c>
      <c r="I52" s="732">
        <f t="shared" si="6"/>
        <v>8459.3186879561654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53791.615975651839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272.08951871339281</v>
      </c>
      <c r="D54" s="703">
        <f ca="1">+landbouw!C12</f>
        <v>0</v>
      </c>
      <c r="E54" s="703">
        <f>+landbouw!D12</f>
        <v>71.75306025914368</v>
      </c>
      <c r="F54" s="703">
        <f>+landbouw!E12</f>
        <v>8.83561225864851</v>
      </c>
      <c r="G54" s="703">
        <f>+landbouw!F12</f>
        <v>1472.9600496468245</v>
      </c>
      <c r="H54" s="703">
        <f>+landbouw!G12</f>
        <v>0</v>
      </c>
      <c r="I54" s="703">
        <f>+landbouw!H12</f>
        <v>0</v>
      </c>
      <c r="J54" s="703">
        <f>+landbouw!I12</f>
        <v>0</v>
      </c>
      <c r="K54" s="703">
        <f>+landbouw!J12</f>
        <v>67.916195724633269</v>
      </c>
      <c r="L54" s="703">
        <f>+landbouw!K12</f>
        <v>0</v>
      </c>
      <c r="M54" s="703">
        <f>+landbouw!L12</f>
        <v>0</v>
      </c>
      <c r="N54" s="703">
        <f>+landbouw!M12</f>
        <v>0</v>
      </c>
      <c r="O54" s="703">
        <f>+landbouw!N12</f>
        <v>0</v>
      </c>
      <c r="P54" s="703">
        <f>+landbouw!O12</f>
        <v>0</v>
      </c>
      <c r="Q54" s="704">
        <f>+landbouw!P12</f>
        <v>0</v>
      </c>
      <c r="R54" s="731">
        <f ca="1">SUM(C54:Q54)</f>
        <v>1893.5544366026429</v>
      </c>
    </row>
    <row r="55" spans="1:18" ht="15" thickBot="1">
      <c r="A55" s="825" t="s">
        <v>836</v>
      </c>
      <c r="B55" s="835"/>
      <c r="C55" s="703">
        <f ca="1">C25*'EF ele_warmte'!B12</f>
        <v>397.96167881653133</v>
      </c>
      <c r="D55" s="703"/>
      <c r="E55" s="703">
        <f>E25*EF_CO2_aardgas</f>
        <v>795.5708302437788</v>
      </c>
      <c r="F55" s="703"/>
      <c r="G55" s="703"/>
      <c r="H55" s="703"/>
      <c r="I55" s="703"/>
      <c r="J55" s="703"/>
      <c r="K55" s="703"/>
      <c r="L55" s="703"/>
      <c r="M55" s="703"/>
      <c r="N55" s="703"/>
      <c r="O55" s="703"/>
      <c r="P55" s="703"/>
      <c r="Q55" s="704"/>
      <c r="R55" s="731">
        <f ca="1">SUM(C55:Q55)</f>
        <v>1193.5325090603101</v>
      </c>
    </row>
    <row r="56" spans="1:18" ht="15.75" thickBot="1">
      <c r="A56" s="823" t="s">
        <v>837</v>
      </c>
      <c r="B56" s="836"/>
      <c r="C56" s="732">
        <f ca="1">SUM(C54:C55)</f>
        <v>670.05119752992414</v>
      </c>
      <c r="D56" s="732">
        <f t="shared" ref="D56:Q56" ca="1" si="7">SUM(D54:D55)</f>
        <v>0</v>
      </c>
      <c r="E56" s="732">
        <f t="shared" si="7"/>
        <v>867.3238905029225</v>
      </c>
      <c r="F56" s="732">
        <f t="shared" si="7"/>
        <v>8.83561225864851</v>
      </c>
      <c r="G56" s="732">
        <f t="shared" si="7"/>
        <v>1472.9600496468245</v>
      </c>
      <c r="H56" s="732">
        <f t="shared" si="7"/>
        <v>0</v>
      </c>
      <c r="I56" s="732">
        <f t="shared" si="7"/>
        <v>0</v>
      </c>
      <c r="J56" s="732">
        <f t="shared" si="7"/>
        <v>0</v>
      </c>
      <c r="K56" s="732">
        <f t="shared" si="7"/>
        <v>67.916195724633269</v>
      </c>
      <c r="L56" s="732">
        <f t="shared" si="7"/>
        <v>0</v>
      </c>
      <c r="M56" s="732">
        <f t="shared" si="7"/>
        <v>0</v>
      </c>
      <c r="N56" s="732">
        <f t="shared" si="7"/>
        <v>0</v>
      </c>
      <c r="O56" s="732">
        <f t="shared" si="7"/>
        <v>0</v>
      </c>
      <c r="P56" s="732">
        <f t="shared" si="7"/>
        <v>0</v>
      </c>
      <c r="Q56" s="733">
        <f t="shared" si="7"/>
        <v>0</v>
      </c>
      <c r="R56" s="734">
        <f ca="1">SUM(R54:R55)</f>
        <v>3087.086945662953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35400.494438056827</v>
      </c>
      <c r="D61" s="740">
        <f t="shared" ref="D61:Q61" ca="1" si="8">D46+D52+D56</f>
        <v>0</v>
      </c>
      <c r="E61" s="740">
        <f t="shared" ca="1" si="8"/>
        <v>45134.385370135737</v>
      </c>
      <c r="F61" s="740">
        <f t="shared" si="8"/>
        <v>3061.0586202175064</v>
      </c>
      <c r="G61" s="740">
        <f t="shared" ca="1" si="8"/>
        <v>27087.650358917355</v>
      </c>
      <c r="H61" s="740">
        <f t="shared" si="8"/>
        <v>45163.405555191384</v>
      </c>
      <c r="I61" s="740">
        <f t="shared" si="8"/>
        <v>8459.3186879561654</v>
      </c>
      <c r="J61" s="740">
        <f t="shared" si="8"/>
        <v>0</v>
      </c>
      <c r="K61" s="740">
        <f t="shared" si="8"/>
        <v>1004.3533190919104</v>
      </c>
      <c r="L61" s="740">
        <f t="shared" si="8"/>
        <v>0</v>
      </c>
      <c r="M61" s="740">
        <f t="shared" ca="1" si="8"/>
        <v>0</v>
      </c>
      <c r="N61" s="740">
        <f t="shared" si="8"/>
        <v>0</v>
      </c>
      <c r="O61" s="740">
        <f t="shared" ca="1" si="8"/>
        <v>0</v>
      </c>
      <c r="P61" s="740">
        <f t="shared" si="8"/>
        <v>0</v>
      </c>
      <c r="Q61" s="740">
        <f t="shared" si="8"/>
        <v>0</v>
      </c>
      <c r="R61" s="740">
        <f ca="1">R46+R52+R56</f>
        <v>165310.66634956689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0.20546873081882863</v>
      </c>
      <c r="D63" s="781">
        <f t="shared" ca="1" si="9"/>
        <v>0</v>
      </c>
      <c r="E63" s="1024">
        <f t="shared" ca="1" si="9"/>
        <v>0.20199999999999999</v>
      </c>
      <c r="F63" s="781">
        <f t="shared" si="9"/>
        <v>0.22699999999999998</v>
      </c>
      <c r="G63" s="781">
        <f t="shared" ca="1" si="9"/>
        <v>0.26700000000000002</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9921.1631071430202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2187</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6248.5714285714294</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12108.16310714302</v>
      </c>
      <c r="C78" s="755">
        <f>SUM(C72:C77)</f>
        <v>0</v>
      </c>
      <c r="D78" s="756">
        <f t="shared" ref="D78:H78" si="10">SUM(D76:D77)</f>
        <v>0</v>
      </c>
      <c r="E78" s="756">
        <f t="shared" si="10"/>
        <v>0</v>
      </c>
      <c r="F78" s="756">
        <f t="shared" si="10"/>
        <v>0</v>
      </c>
      <c r="G78" s="756">
        <f t="shared" si="10"/>
        <v>0</v>
      </c>
      <c r="H78" s="756">
        <f t="shared" si="10"/>
        <v>0</v>
      </c>
      <c r="I78" s="756">
        <f>SUM(I76:I77)</f>
        <v>0</v>
      </c>
      <c r="J78" s="756">
        <f>SUM(J76:J77)</f>
        <v>6248.5714285714294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9921.1631071430202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2187</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12108.16310714302</v>
      </c>
      <c r="C10" s="583">
        <f t="shared" ref="C10:L10" si="0">SUM(C8:C9)</f>
        <v>0</v>
      </c>
      <c r="D10" s="583">
        <f t="shared" si="0"/>
        <v>0</v>
      </c>
      <c r="E10" s="583">
        <f t="shared" si="0"/>
        <v>0</v>
      </c>
      <c r="F10" s="583">
        <f t="shared" si="0"/>
        <v>0</v>
      </c>
      <c r="G10" s="583">
        <f t="shared" si="0"/>
        <v>0</v>
      </c>
      <c r="H10" s="583">
        <f t="shared" si="0"/>
        <v>0</v>
      </c>
      <c r="I10" s="583">
        <f t="shared" si="0"/>
        <v>0</v>
      </c>
      <c r="J10" s="583">
        <f t="shared" si="0"/>
        <v>6248.5714285714294</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41048</v>
      </c>
      <c r="C64" s="796">
        <v>9400</v>
      </c>
      <c r="D64" s="655" t="s">
        <v>881</v>
      </c>
      <c r="E64" s="655" t="s">
        <v>882</v>
      </c>
      <c r="F64" s="655" t="s">
        <v>883</v>
      </c>
      <c r="G64" s="655" t="s">
        <v>884</v>
      </c>
      <c r="H64" s="655" t="s">
        <v>885</v>
      </c>
      <c r="I64" s="655" t="s">
        <v>886</v>
      </c>
      <c r="J64" s="795">
        <v>38826</v>
      </c>
      <c r="K64" s="795">
        <v>38930</v>
      </c>
      <c r="L64" s="655" t="s">
        <v>887</v>
      </c>
      <c r="M64" s="655">
        <v>486</v>
      </c>
      <c r="N64" s="655">
        <v>2187</v>
      </c>
      <c r="O64" s="655">
        <v>0</v>
      </c>
      <c r="P64" s="655">
        <v>0</v>
      </c>
      <c r="Q64" s="655">
        <v>0</v>
      </c>
      <c r="R64" s="655">
        <v>6248.5714285714294</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486</v>
      </c>
      <c r="N89" s="610">
        <f t="shared" ref="N89:W89" si="5">SUM(N64:N88)</f>
        <v>2187</v>
      </c>
      <c r="O89" s="610">
        <f t="shared" si="5"/>
        <v>0</v>
      </c>
      <c r="P89" s="610">
        <f t="shared" si="5"/>
        <v>0</v>
      </c>
      <c r="Q89" s="610">
        <f t="shared" si="5"/>
        <v>0</v>
      </c>
      <c r="R89" s="610">
        <f t="shared" si="5"/>
        <v>6248.5714285714294</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486</v>
      </c>
      <c r="N91" s="610">
        <f t="shared" si="7"/>
        <v>2187</v>
      </c>
      <c r="O91" s="610">
        <f t="shared" si="7"/>
        <v>0</v>
      </c>
      <c r="P91" s="610">
        <f t="shared" si="7"/>
        <v>0</v>
      </c>
      <c r="Q91" s="610">
        <f t="shared" si="7"/>
        <v>0</v>
      </c>
      <c r="R91" s="610">
        <f t="shared" si="7"/>
        <v>6248.5714285714294</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67818.66435963253</v>
      </c>
      <c r="C4" s="477">
        <f>huishoudens!C8</f>
        <v>0</v>
      </c>
      <c r="D4" s="477">
        <f>huishoudens!D8</f>
        <v>118170.0597262855</v>
      </c>
      <c r="E4" s="477">
        <f>huishoudens!E8</f>
        <v>9913.3308957020527</v>
      </c>
      <c r="F4" s="477">
        <f>huishoudens!F8</f>
        <v>78850.543452661645</v>
      </c>
      <c r="G4" s="477">
        <f>huishoudens!G8</f>
        <v>0</v>
      </c>
      <c r="H4" s="477">
        <f>huishoudens!H8</f>
        <v>0</v>
      </c>
      <c r="I4" s="477">
        <f>huishoudens!I8</f>
        <v>0</v>
      </c>
      <c r="J4" s="477">
        <f>huishoudens!J8</f>
        <v>2545.7956070565569</v>
      </c>
      <c r="K4" s="477">
        <f>huishoudens!K8</f>
        <v>0</v>
      </c>
      <c r="L4" s="477">
        <f>huishoudens!L8</f>
        <v>0</v>
      </c>
      <c r="M4" s="477">
        <f>huishoudens!M8</f>
        <v>0</v>
      </c>
      <c r="N4" s="477">
        <f>huishoudens!N8</f>
        <v>37917.253910180698</v>
      </c>
      <c r="O4" s="477">
        <f>huishoudens!O8</f>
        <v>434.60666666666674</v>
      </c>
      <c r="P4" s="478">
        <f>huishoudens!P8</f>
        <v>1696.9333333333334</v>
      </c>
      <c r="Q4" s="479">
        <f>SUM(B4:P4)</f>
        <v>317347.1879515191</v>
      </c>
    </row>
    <row r="5" spans="1:17">
      <c r="A5" s="476" t="s">
        <v>156</v>
      </c>
      <c r="B5" s="477">
        <f ca="1">tertiair!B16</f>
        <v>50196.321565712235</v>
      </c>
      <c r="C5" s="477">
        <f ca="1">tertiair!C16</f>
        <v>0</v>
      </c>
      <c r="D5" s="477">
        <f ca="1">tertiair!D16</f>
        <v>49901.207158234938</v>
      </c>
      <c r="E5" s="477">
        <f>tertiair!E16</f>
        <v>955.85777592445299</v>
      </c>
      <c r="F5" s="477">
        <f ca="1">tertiair!F16</f>
        <v>8655.4842414320156</v>
      </c>
      <c r="G5" s="477">
        <f>tertiair!G16</f>
        <v>0</v>
      </c>
      <c r="H5" s="477">
        <f>tertiair!H16</f>
        <v>0</v>
      </c>
      <c r="I5" s="477">
        <f>tertiair!I16</f>
        <v>0</v>
      </c>
      <c r="J5" s="477">
        <f>tertiair!J16</f>
        <v>0.1064951835113418</v>
      </c>
      <c r="K5" s="477">
        <f>tertiair!K16</f>
        <v>0</v>
      </c>
      <c r="L5" s="477">
        <f ca="1">tertiair!L16</f>
        <v>0</v>
      </c>
      <c r="M5" s="477">
        <f>tertiair!M16</f>
        <v>0</v>
      </c>
      <c r="N5" s="477">
        <f ca="1">tertiair!N16</f>
        <v>0</v>
      </c>
      <c r="O5" s="477">
        <f>tertiair!O16</f>
        <v>4.6900000000000004</v>
      </c>
      <c r="P5" s="478">
        <f>tertiair!P16</f>
        <v>57.2</v>
      </c>
      <c r="Q5" s="476">
        <f t="shared" ref="Q5:Q14" ca="1" si="0">SUM(B5:P5)</f>
        <v>109770.86723648716</v>
      </c>
    </row>
    <row r="6" spans="1:17">
      <c r="A6" s="476" t="s">
        <v>194</v>
      </c>
      <c r="B6" s="477">
        <f>'openbare verlichting'!B8</f>
        <v>2593.6799999999998</v>
      </c>
      <c r="C6" s="477"/>
      <c r="D6" s="477"/>
      <c r="E6" s="477"/>
      <c r="F6" s="477"/>
      <c r="G6" s="477"/>
      <c r="H6" s="477"/>
      <c r="I6" s="477"/>
      <c r="J6" s="477"/>
      <c r="K6" s="477"/>
      <c r="L6" s="477"/>
      <c r="M6" s="477"/>
      <c r="N6" s="477"/>
      <c r="O6" s="477"/>
      <c r="P6" s="478"/>
      <c r="Q6" s="476">
        <f t="shared" si="0"/>
        <v>2593.6799999999998</v>
      </c>
    </row>
    <row r="7" spans="1:17">
      <c r="A7" s="476" t="s">
        <v>112</v>
      </c>
      <c r="B7" s="477">
        <f>landbouw!B8</f>
        <v>1324.2380854209241</v>
      </c>
      <c r="C7" s="477">
        <f>landbouw!C8</f>
        <v>0</v>
      </c>
      <c r="D7" s="477">
        <f>landbouw!D8</f>
        <v>355.2131695997212</v>
      </c>
      <c r="E7" s="477">
        <f>landbouw!E8</f>
        <v>38.923402020478015</v>
      </c>
      <c r="F7" s="477">
        <f>landbouw!F8</f>
        <v>5516.7043057933497</v>
      </c>
      <c r="G7" s="477">
        <f>landbouw!G8</f>
        <v>0</v>
      </c>
      <c r="H7" s="477">
        <f>landbouw!H8</f>
        <v>0</v>
      </c>
      <c r="I7" s="477">
        <f>landbouw!I8</f>
        <v>0</v>
      </c>
      <c r="J7" s="477">
        <f>landbouw!J8</f>
        <v>191.85366023907704</v>
      </c>
      <c r="K7" s="477">
        <f>landbouw!K8</f>
        <v>0</v>
      </c>
      <c r="L7" s="477">
        <f>landbouw!L8</f>
        <v>0</v>
      </c>
      <c r="M7" s="477">
        <f>landbouw!M8</f>
        <v>0</v>
      </c>
      <c r="N7" s="477">
        <f>landbouw!N8</f>
        <v>0</v>
      </c>
      <c r="O7" s="477">
        <f>landbouw!O8</f>
        <v>0</v>
      </c>
      <c r="P7" s="478">
        <f>landbouw!P8</f>
        <v>0</v>
      </c>
      <c r="Q7" s="476">
        <f t="shared" si="0"/>
        <v>7426.9326230735496</v>
      </c>
    </row>
    <row r="8" spans="1:17">
      <c r="A8" s="476" t="s">
        <v>635</v>
      </c>
      <c r="B8" s="477">
        <f>industrie!B18</f>
        <v>48338.698495423116</v>
      </c>
      <c r="C8" s="477">
        <f>industrie!C18</f>
        <v>0</v>
      </c>
      <c r="D8" s="477">
        <f>industrie!D18</f>
        <v>50770.652293768959</v>
      </c>
      <c r="E8" s="477">
        <f>industrie!E18</f>
        <v>2176.4843630806736</v>
      </c>
      <c r="F8" s="477">
        <f>industrie!F18</f>
        <v>8429.1420035487754</v>
      </c>
      <c r="G8" s="477">
        <f>industrie!G18</f>
        <v>0</v>
      </c>
      <c r="H8" s="477">
        <f>industrie!H18</f>
        <v>0</v>
      </c>
      <c r="I8" s="477">
        <f>industrie!I18</f>
        <v>0</v>
      </c>
      <c r="J8" s="477">
        <f>industrie!J18</f>
        <v>99.400506142070626</v>
      </c>
      <c r="K8" s="477">
        <f>industrie!K18</f>
        <v>0</v>
      </c>
      <c r="L8" s="477">
        <f>industrie!L18</f>
        <v>0</v>
      </c>
      <c r="M8" s="477">
        <f>industrie!M18</f>
        <v>0</v>
      </c>
      <c r="N8" s="477">
        <f>industrie!N18</f>
        <v>8813.0556118447494</v>
      </c>
      <c r="O8" s="477">
        <f>industrie!O18</f>
        <v>0</v>
      </c>
      <c r="P8" s="478">
        <f>industrie!P18</f>
        <v>0</v>
      </c>
      <c r="Q8" s="476">
        <f t="shared" si="0"/>
        <v>118627.43327380833</v>
      </c>
    </row>
    <row r="9" spans="1:17" s="482" customFormat="1">
      <c r="A9" s="480" t="s">
        <v>561</v>
      </c>
      <c r="B9" s="481">
        <f>transport!B14</f>
        <v>82.945457139315934</v>
      </c>
      <c r="C9" s="481">
        <f>transport!C14</f>
        <v>0</v>
      </c>
      <c r="D9" s="481">
        <f>transport!D14</f>
        <v>301.94953276413048</v>
      </c>
      <c r="E9" s="481">
        <f>transport!E14</f>
        <v>400.24329991334236</v>
      </c>
      <c r="F9" s="481">
        <f>transport!F14</f>
        <v>0</v>
      </c>
      <c r="G9" s="481">
        <f>transport!G14</f>
        <v>166316.89154027816</v>
      </c>
      <c r="H9" s="481">
        <f>transport!H14</f>
        <v>33973.167421510705</v>
      </c>
      <c r="I9" s="481">
        <f>transport!I14</f>
        <v>0</v>
      </c>
      <c r="J9" s="481">
        <f>transport!J14</f>
        <v>0</v>
      </c>
      <c r="K9" s="481">
        <f>transport!K14</f>
        <v>0</v>
      </c>
      <c r="L9" s="481">
        <f>transport!L14</f>
        <v>0</v>
      </c>
      <c r="M9" s="481">
        <f>transport!M14</f>
        <v>10719.375236635327</v>
      </c>
      <c r="N9" s="481">
        <f>transport!N14</f>
        <v>0</v>
      </c>
      <c r="O9" s="481">
        <f>transport!O14</f>
        <v>0</v>
      </c>
      <c r="P9" s="481">
        <f>transport!P14</f>
        <v>0</v>
      </c>
      <c r="Q9" s="480">
        <f>SUM(B9:P9)</f>
        <v>211794.57248824098</v>
      </c>
    </row>
    <row r="10" spans="1:17">
      <c r="A10" s="476" t="s">
        <v>551</v>
      </c>
      <c r="B10" s="477">
        <f>transport!B54</f>
        <v>0</v>
      </c>
      <c r="C10" s="477">
        <f>transport!C54</f>
        <v>0</v>
      </c>
      <c r="D10" s="477">
        <f>transport!D54</f>
        <v>0</v>
      </c>
      <c r="E10" s="477">
        <f>transport!E54</f>
        <v>0</v>
      </c>
      <c r="F10" s="477">
        <f>transport!F54</f>
        <v>0</v>
      </c>
      <c r="G10" s="477">
        <f>transport!G54</f>
        <v>2834.4401271052907</v>
      </c>
      <c r="H10" s="477">
        <f>transport!H54</f>
        <v>0</v>
      </c>
      <c r="I10" s="477">
        <f>transport!I54</f>
        <v>0</v>
      </c>
      <c r="J10" s="477">
        <f>transport!J54</f>
        <v>0</v>
      </c>
      <c r="K10" s="477">
        <f>transport!K54</f>
        <v>0</v>
      </c>
      <c r="L10" s="477">
        <f>transport!L54</f>
        <v>0</v>
      </c>
      <c r="M10" s="477">
        <f>transport!M54</f>
        <v>160.98368636713195</v>
      </c>
      <c r="N10" s="477">
        <f>transport!N54</f>
        <v>0</v>
      </c>
      <c r="O10" s="477">
        <f>transport!O54</f>
        <v>0</v>
      </c>
      <c r="P10" s="478">
        <f>transport!P54</f>
        <v>0</v>
      </c>
      <c r="Q10" s="476">
        <f t="shared" si="0"/>
        <v>2995.4238134724228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1936.8478952032499</v>
      </c>
      <c r="C14" s="484"/>
      <c r="D14" s="484">
        <f>'SEAP template'!E25</f>
        <v>3938.4694566523699</v>
      </c>
      <c r="E14" s="484"/>
      <c r="F14" s="484"/>
      <c r="G14" s="484"/>
      <c r="H14" s="484"/>
      <c r="I14" s="484"/>
      <c r="J14" s="484"/>
      <c r="K14" s="484"/>
      <c r="L14" s="484"/>
      <c r="M14" s="484"/>
      <c r="N14" s="484"/>
      <c r="O14" s="484"/>
      <c r="P14" s="485"/>
      <c r="Q14" s="476">
        <f t="shared" si="0"/>
        <v>5875.3173518556196</v>
      </c>
    </row>
    <row r="15" spans="1:17" s="486" customFormat="1">
      <c r="A15" s="1039" t="s">
        <v>555</v>
      </c>
      <c r="B15" s="987">
        <f ca="1">SUM(B4:B14)</f>
        <v>172291.39585853135</v>
      </c>
      <c r="C15" s="987">
        <f t="shared" ref="C15:Q15" ca="1" si="1">SUM(C4:C14)</f>
        <v>0</v>
      </c>
      <c r="D15" s="987">
        <f t="shared" ca="1" si="1"/>
        <v>223437.55133730563</v>
      </c>
      <c r="E15" s="987">
        <f t="shared" si="1"/>
        <v>13484.839736640999</v>
      </c>
      <c r="F15" s="987">
        <f t="shared" ca="1" si="1"/>
        <v>101451.87400343578</v>
      </c>
      <c r="G15" s="987">
        <f t="shared" si="1"/>
        <v>169151.33166738343</v>
      </c>
      <c r="H15" s="987">
        <f t="shared" si="1"/>
        <v>33973.167421510705</v>
      </c>
      <c r="I15" s="987">
        <f t="shared" si="1"/>
        <v>0</v>
      </c>
      <c r="J15" s="987">
        <f t="shared" si="1"/>
        <v>2837.156268621216</v>
      </c>
      <c r="K15" s="987">
        <f t="shared" si="1"/>
        <v>0</v>
      </c>
      <c r="L15" s="987">
        <f t="shared" ca="1" si="1"/>
        <v>0</v>
      </c>
      <c r="M15" s="987">
        <f t="shared" si="1"/>
        <v>10880.358923002459</v>
      </c>
      <c r="N15" s="987">
        <f t="shared" ca="1" si="1"/>
        <v>46730.309522025447</v>
      </c>
      <c r="O15" s="987">
        <f t="shared" si="1"/>
        <v>439.29666666666674</v>
      </c>
      <c r="P15" s="987">
        <f t="shared" si="1"/>
        <v>1754.1333333333334</v>
      </c>
      <c r="Q15" s="987">
        <f t="shared" ca="1" si="1"/>
        <v>776431.41473845718</v>
      </c>
    </row>
    <row r="17" spans="1:17">
      <c r="A17" s="487" t="s">
        <v>556</v>
      </c>
      <c r="B17" s="786">
        <f ca="1">huishoudens!B10</f>
        <v>0.2054687308188286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13934.614891801821</v>
      </c>
      <c r="C22" s="477">
        <f t="shared" ref="C22:C32" ca="1" si="3">C4*$C$17</f>
        <v>0</v>
      </c>
      <c r="D22" s="477">
        <f t="shared" ref="D22:D32" si="4">D4*$D$17</f>
        <v>23870.352064709674</v>
      </c>
      <c r="E22" s="477">
        <f t="shared" ref="E22:E32" si="5">E4*$E$17</f>
        <v>2250.3261133243659</v>
      </c>
      <c r="F22" s="477">
        <f t="shared" ref="F22:F32" si="6">F4*$F$17</f>
        <v>21053.095101860661</v>
      </c>
      <c r="G22" s="477">
        <f t="shared" ref="G22:G32" si="7">G4*$G$17</f>
        <v>0</v>
      </c>
      <c r="H22" s="477">
        <f t="shared" ref="H22:H32" si="8">H4*$H$17</f>
        <v>0</v>
      </c>
      <c r="I22" s="477">
        <f t="shared" ref="I22:I32" si="9">I4*$I$17</f>
        <v>0</v>
      </c>
      <c r="J22" s="477">
        <f t="shared" ref="J22:J32" si="10">J4*$J$17</f>
        <v>901.21164489802106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62009.599816594549</v>
      </c>
    </row>
    <row r="23" spans="1:17">
      <c r="A23" s="476" t="s">
        <v>156</v>
      </c>
      <c r="B23" s="477">
        <f t="shared" ca="1" si="2"/>
        <v>10313.774483880688</v>
      </c>
      <c r="C23" s="477">
        <f t="shared" ca="1" si="3"/>
        <v>0</v>
      </c>
      <c r="D23" s="477">
        <f t="shared" ca="1" si="4"/>
        <v>10080.043845963459</v>
      </c>
      <c r="E23" s="477">
        <f t="shared" si="5"/>
        <v>216.97971513485084</v>
      </c>
      <c r="F23" s="477">
        <f t="shared" ca="1" si="6"/>
        <v>2311.0142924623483</v>
      </c>
      <c r="G23" s="477">
        <f t="shared" si="7"/>
        <v>0</v>
      </c>
      <c r="H23" s="477">
        <f t="shared" si="8"/>
        <v>0</v>
      </c>
      <c r="I23" s="477">
        <f t="shared" si="9"/>
        <v>0</v>
      </c>
      <c r="J23" s="477">
        <f t="shared" si="10"/>
        <v>3.7699294963014995E-2</v>
      </c>
      <c r="K23" s="477">
        <f t="shared" si="11"/>
        <v>0</v>
      </c>
      <c r="L23" s="477">
        <f t="shared" ca="1" si="12"/>
        <v>0</v>
      </c>
      <c r="M23" s="477">
        <f t="shared" si="13"/>
        <v>0</v>
      </c>
      <c r="N23" s="477">
        <f t="shared" ca="1" si="14"/>
        <v>0</v>
      </c>
      <c r="O23" s="477">
        <f t="shared" si="15"/>
        <v>0</v>
      </c>
      <c r="P23" s="478">
        <f t="shared" si="16"/>
        <v>0</v>
      </c>
      <c r="Q23" s="476">
        <f t="shared" ref="Q23:Q32" ca="1" si="17">SUM(B23:P23)</f>
        <v>22921.850036736309</v>
      </c>
    </row>
    <row r="24" spans="1:17">
      <c r="A24" s="476" t="s">
        <v>194</v>
      </c>
      <c r="B24" s="477">
        <f t="shared" ca="1" si="2"/>
        <v>532.92013775017938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532.92013775017938</v>
      </c>
    </row>
    <row r="25" spans="1:17">
      <c r="A25" s="476" t="s">
        <v>112</v>
      </c>
      <c r="B25" s="477">
        <f t="shared" ca="1" si="2"/>
        <v>272.08951871339281</v>
      </c>
      <c r="C25" s="477">
        <f t="shared" ca="1" si="3"/>
        <v>0</v>
      </c>
      <c r="D25" s="477">
        <f t="shared" si="4"/>
        <v>71.75306025914368</v>
      </c>
      <c r="E25" s="477">
        <f t="shared" si="5"/>
        <v>8.83561225864851</v>
      </c>
      <c r="F25" s="477">
        <f t="shared" si="6"/>
        <v>1472.9600496468245</v>
      </c>
      <c r="G25" s="477">
        <f t="shared" si="7"/>
        <v>0</v>
      </c>
      <c r="H25" s="477">
        <f t="shared" si="8"/>
        <v>0</v>
      </c>
      <c r="I25" s="477">
        <f t="shared" si="9"/>
        <v>0</v>
      </c>
      <c r="J25" s="477">
        <f t="shared" si="10"/>
        <v>67.916195724633269</v>
      </c>
      <c r="K25" s="477">
        <f t="shared" si="11"/>
        <v>0</v>
      </c>
      <c r="L25" s="477">
        <f t="shared" si="12"/>
        <v>0</v>
      </c>
      <c r="M25" s="477">
        <f t="shared" si="13"/>
        <v>0</v>
      </c>
      <c r="N25" s="477">
        <f t="shared" si="14"/>
        <v>0</v>
      </c>
      <c r="O25" s="477">
        <f t="shared" si="15"/>
        <v>0</v>
      </c>
      <c r="P25" s="478">
        <f t="shared" si="16"/>
        <v>0</v>
      </c>
      <c r="Q25" s="476">
        <f t="shared" ca="1" si="17"/>
        <v>1893.5544366026429</v>
      </c>
    </row>
    <row r="26" spans="1:17">
      <c r="A26" s="476" t="s">
        <v>635</v>
      </c>
      <c r="B26" s="477">
        <f t="shared" ca="1" si="2"/>
        <v>9932.0910292886074</v>
      </c>
      <c r="C26" s="477">
        <f t="shared" ca="1" si="3"/>
        <v>0</v>
      </c>
      <c r="D26" s="477">
        <f t="shared" si="4"/>
        <v>10255.67176334133</v>
      </c>
      <c r="E26" s="477">
        <f t="shared" si="5"/>
        <v>494.06195041931289</v>
      </c>
      <c r="F26" s="477">
        <f t="shared" si="6"/>
        <v>2250.5809149475231</v>
      </c>
      <c r="G26" s="477">
        <f t="shared" si="7"/>
        <v>0</v>
      </c>
      <c r="H26" s="477">
        <f t="shared" si="8"/>
        <v>0</v>
      </c>
      <c r="I26" s="477">
        <f t="shared" si="9"/>
        <v>0</v>
      </c>
      <c r="J26" s="477">
        <f t="shared" si="10"/>
        <v>35.187779174292999</v>
      </c>
      <c r="K26" s="477">
        <f t="shared" si="11"/>
        <v>0</v>
      </c>
      <c r="L26" s="477">
        <f t="shared" si="12"/>
        <v>0</v>
      </c>
      <c r="M26" s="477">
        <f t="shared" si="13"/>
        <v>0</v>
      </c>
      <c r="N26" s="477">
        <f t="shared" si="14"/>
        <v>0</v>
      </c>
      <c r="O26" s="477">
        <f t="shared" si="15"/>
        <v>0</v>
      </c>
      <c r="P26" s="478">
        <f t="shared" si="16"/>
        <v>0</v>
      </c>
      <c r="Q26" s="476">
        <f t="shared" ca="1" si="17"/>
        <v>22967.593437171068</v>
      </c>
    </row>
    <row r="27" spans="1:17" s="482" customFormat="1">
      <c r="A27" s="480" t="s">
        <v>561</v>
      </c>
      <c r="B27" s="780">
        <f t="shared" ca="1" si="2"/>
        <v>17.042697805602792</v>
      </c>
      <c r="C27" s="481">
        <f t="shared" ca="1" si="3"/>
        <v>0</v>
      </c>
      <c r="D27" s="481">
        <f t="shared" si="4"/>
        <v>60.993805618354358</v>
      </c>
      <c r="E27" s="481">
        <f t="shared" si="5"/>
        <v>90.855229080328712</v>
      </c>
      <c r="F27" s="481">
        <f t="shared" si="6"/>
        <v>0</v>
      </c>
      <c r="G27" s="481">
        <f t="shared" si="7"/>
        <v>44406.610041254273</v>
      </c>
      <c r="H27" s="481">
        <f t="shared" si="8"/>
        <v>8459.3186879561654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53034.820461714728</v>
      </c>
    </row>
    <row r="28" spans="1:17">
      <c r="A28" s="476" t="s">
        <v>551</v>
      </c>
      <c r="B28" s="477">
        <f t="shared" ca="1" si="2"/>
        <v>0</v>
      </c>
      <c r="C28" s="477">
        <f t="shared" ca="1" si="3"/>
        <v>0</v>
      </c>
      <c r="D28" s="477">
        <f t="shared" si="4"/>
        <v>0</v>
      </c>
      <c r="E28" s="477">
        <f t="shared" si="5"/>
        <v>0</v>
      </c>
      <c r="F28" s="477">
        <f t="shared" si="6"/>
        <v>0</v>
      </c>
      <c r="G28" s="477">
        <f t="shared" si="7"/>
        <v>756.79551393711267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756.79551393711267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397.96167881653133</v>
      </c>
      <c r="C32" s="477">
        <f t="shared" ca="1" si="3"/>
        <v>0</v>
      </c>
      <c r="D32" s="477">
        <f t="shared" si="4"/>
        <v>795.5708302437788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1193.5325090603101</v>
      </c>
    </row>
    <row r="33" spans="1:17" s="486" customFormat="1">
      <c r="A33" s="1039" t="s">
        <v>555</v>
      </c>
      <c r="B33" s="987">
        <f ca="1">SUM(B22:B32)</f>
        <v>35400.494438056819</v>
      </c>
      <c r="C33" s="987">
        <f t="shared" ref="C33:Q33" ca="1" si="18">SUM(C22:C32)</f>
        <v>0</v>
      </c>
      <c r="D33" s="987">
        <f t="shared" ca="1" si="18"/>
        <v>45134.385370135737</v>
      </c>
      <c r="E33" s="987">
        <f t="shared" si="18"/>
        <v>3061.0586202175064</v>
      </c>
      <c r="F33" s="987">
        <f t="shared" ca="1" si="18"/>
        <v>27087.650358917355</v>
      </c>
      <c r="G33" s="987">
        <f t="shared" si="18"/>
        <v>45163.405555191384</v>
      </c>
      <c r="H33" s="987">
        <f t="shared" si="18"/>
        <v>8459.3186879561654</v>
      </c>
      <c r="I33" s="987">
        <f t="shared" si="18"/>
        <v>0</v>
      </c>
      <c r="J33" s="987">
        <f t="shared" si="18"/>
        <v>1004.3533190919103</v>
      </c>
      <c r="K33" s="987">
        <f t="shared" si="18"/>
        <v>0</v>
      </c>
      <c r="L33" s="987">
        <f t="shared" ca="1" si="18"/>
        <v>0</v>
      </c>
      <c r="M33" s="987">
        <f t="shared" si="18"/>
        <v>0</v>
      </c>
      <c r="N33" s="987">
        <f t="shared" ca="1" si="18"/>
        <v>0</v>
      </c>
      <c r="O33" s="987">
        <f t="shared" si="18"/>
        <v>0</v>
      </c>
      <c r="P33" s="987">
        <f t="shared" si="18"/>
        <v>0</v>
      </c>
      <c r="Q33" s="987">
        <f t="shared" ca="1" si="18"/>
        <v>165310.66634956689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9921.1631071430202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2187</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6248.5714285714294</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12108.16310714302</v>
      </c>
      <c r="C10" s="1060">
        <f>SUM(C4:C9)</f>
        <v>0</v>
      </c>
      <c r="D10" s="1060">
        <f t="shared" ref="D10:H10" si="0">SUM(D8:D9)</f>
        <v>0</v>
      </c>
      <c r="E10" s="1060">
        <f t="shared" si="0"/>
        <v>0</v>
      </c>
      <c r="F10" s="1060">
        <f t="shared" si="0"/>
        <v>0</v>
      </c>
      <c r="G10" s="1060">
        <f t="shared" si="0"/>
        <v>0</v>
      </c>
      <c r="H10" s="1060">
        <f t="shared" si="0"/>
        <v>0</v>
      </c>
      <c r="I10" s="1060">
        <f>SUM(I8:I9)</f>
        <v>0</v>
      </c>
      <c r="J10" s="1060">
        <f>SUM(J8:J9)</f>
        <v>6248.5714285714294</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0.2054687308188286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0.2054687308188286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2019-08-12T08:34:11Z</dcterms:modified>
</cp:coreProperties>
</file>