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H89" i="14" s="1"/>
  <c r="H19" i="61" s="1"/>
  <c r="F19" i="18"/>
  <c r="G89" i="14" s="1"/>
  <c r="G19" i="61" s="1"/>
  <c r="E19" i="18"/>
  <c r="F89" i="14" s="1"/>
  <c r="F19" i="61" s="1"/>
  <c r="D19" i="18"/>
  <c r="C19"/>
  <c r="B19"/>
  <c r="N18"/>
  <c r="L88" i="14" s="1"/>
  <c r="M18" i="18"/>
  <c r="L18"/>
  <c r="L20" s="1"/>
  <c r="K18"/>
  <c r="N88" i="14" s="1"/>
  <c r="N18" i="61" s="1"/>
  <c r="N20" s="1"/>
  <c r="J18" i="18"/>
  <c r="I18"/>
  <c r="H18"/>
  <c r="G18"/>
  <c r="H88" i="14" s="1"/>
  <c r="H18" i="61" s="1"/>
  <c r="F18" i="18"/>
  <c r="G88" i="14" s="1"/>
  <c r="G18" i="61" s="1"/>
  <c r="E18" i="18"/>
  <c r="D18"/>
  <c r="D20" s="1"/>
  <c r="C18"/>
  <c r="B18"/>
  <c r="L9"/>
  <c r="L10" s="1"/>
  <c r="K9"/>
  <c r="G9"/>
  <c r="G10" s="1"/>
  <c r="F9"/>
  <c r="F10" s="1"/>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74" i="14" s="1"/>
  <c r="B6" i="61" s="1"/>
  <c r="B5" i="18"/>
  <c r="B73" i="14" s="1"/>
  <c r="B5" i="61" s="1"/>
  <c r="B4" i="18"/>
  <c r="N6" i="17"/>
  <c r="B19" i="6"/>
  <c r="B18"/>
  <c r="B5"/>
  <c r="B6"/>
  <c r="C64" i="14" s="1"/>
  <c r="D14" i="48"/>
  <c r="B14"/>
  <c r="Q14" s="1"/>
  <c r="P7"/>
  <c r="P25" s="1"/>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P28"/>
  <c r="N89" i="14"/>
  <c r="N19" i="61" s="1"/>
  <c r="M89" i="14"/>
  <c r="M19" i="61" s="1"/>
  <c r="L89" i="14"/>
  <c r="L19" i="61" s="1"/>
  <c r="K89" i="14"/>
  <c r="K19" i="61" s="1"/>
  <c r="E89" i="14"/>
  <c r="E19" i="61" s="1"/>
  <c r="D89" i="14"/>
  <c r="D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G10" i="61" l="1"/>
  <c r="O22" i="14"/>
  <c r="G77"/>
  <c r="G9" i="61" s="1"/>
  <c r="H20"/>
  <c r="O9" i="18"/>
  <c r="O10" i="61"/>
  <c r="G20"/>
  <c r="K20"/>
  <c r="Q11" i="48"/>
  <c r="O25"/>
  <c r="N10" i="61"/>
  <c r="O32" i="48"/>
  <c r="C98" i="18"/>
  <c r="D13" i="15"/>
  <c r="L78" i="14"/>
  <c r="L8" i="61"/>
  <c r="L10" s="1"/>
  <c r="K78" i="14"/>
  <c r="K8" i="61"/>
  <c r="K10" s="1"/>
  <c r="N78" i="14"/>
  <c r="N9" i="61"/>
  <c r="L90" i="14"/>
  <c r="L18" i="61"/>
  <c r="L20" s="1"/>
  <c r="E88" i="14"/>
  <c r="O30" i="48"/>
  <c r="C13" i="15"/>
  <c r="K90" i="14"/>
  <c r="K22"/>
  <c r="Q52"/>
  <c r="F6" i="17"/>
  <c r="I9" i="18"/>
  <c r="I77" i="14" s="1"/>
  <c r="I9" i="61" s="1"/>
  <c r="P27" i="48"/>
  <c r="B10" i="18"/>
  <c r="M77" i="14"/>
  <c r="M9" i="61" s="1"/>
  <c r="H9" i="18"/>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E90" l="1"/>
  <c r="E18" i="61"/>
  <c r="E20" s="1"/>
  <c r="O90" i="14"/>
  <c r="O18" i="61"/>
  <c r="O20" s="1"/>
  <c r="H78" i="14"/>
  <c r="H9" i="61"/>
  <c r="H10" s="1"/>
  <c r="G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29"/>
  <c r="J28"/>
  <c r="J31"/>
  <c r="J27"/>
  <c r="P4"/>
  <c r="Q11" i="14"/>
  <c r="O4" i="48"/>
  <c r="P11" i="14"/>
  <c r="I25" i="48"/>
  <c r="I29"/>
  <c r="I28"/>
  <c r="I30"/>
  <c r="I22"/>
  <c r="I32"/>
  <c r="I26"/>
  <c r="I27"/>
  <c r="I24"/>
  <c r="I31"/>
  <c r="E11" i="14"/>
  <c r="D4" i="48"/>
  <c r="D22" s="1"/>
  <c r="H29"/>
  <c r="H28"/>
  <c r="H32"/>
  <c r="H30"/>
  <c r="H26"/>
  <c r="H25"/>
  <c r="H24"/>
  <c r="H22"/>
  <c r="H23"/>
  <c r="K5"/>
  <c r="L10" i="14"/>
  <c r="L16" s="1"/>
  <c r="L27" s="1"/>
  <c r="D30" i="48"/>
  <c r="D28"/>
  <c r="D32"/>
  <c r="D24"/>
  <c r="D29"/>
  <c r="D31"/>
  <c r="L29"/>
  <c r="L32"/>
  <c r="L27"/>
  <c r="L31"/>
  <c r="L28"/>
  <c r="L24"/>
  <c r="L30"/>
  <c r="L22"/>
  <c r="P5"/>
  <c r="P23" s="1"/>
  <c r="Q10" i="14"/>
  <c r="K32" i="48"/>
  <c r="K24"/>
  <c r="K27"/>
  <c r="K31"/>
  <c r="K22"/>
  <c r="K29"/>
  <c r="K28"/>
  <c r="K25"/>
  <c r="K30"/>
  <c r="K26"/>
  <c r="B7"/>
  <c r="C24" i="14"/>
  <c r="C26" s="1"/>
  <c r="D11"/>
  <c r="C4" i="48"/>
  <c r="G23"/>
  <c r="G32"/>
  <c r="G22"/>
  <c r="G30"/>
  <c r="G26"/>
  <c r="G25"/>
  <c r="G29"/>
  <c r="G24"/>
  <c r="C11" i="14"/>
  <c r="B4" i="48"/>
  <c r="F24"/>
  <c r="F30"/>
  <c r="F29"/>
  <c r="F32"/>
  <c r="F27"/>
  <c r="F28"/>
  <c r="F31"/>
  <c r="N30"/>
  <c r="N32"/>
  <c r="N24"/>
  <c r="N31"/>
  <c r="N29"/>
  <c r="N27"/>
  <c r="N28"/>
  <c r="C19" i="14"/>
  <c r="B10" i="48"/>
  <c r="E24"/>
  <c r="E29"/>
  <c r="E30"/>
  <c r="E28"/>
  <c r="E32"/>
  <c r="E31"/>
  <c r="M25"/>
  <c r="M29"/>
  <c r="M26"/>
  <c r="M24"/>
  <c r="M30"/>
  <c r="M22"/>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J10"/>
  <c r="J16" s="1"/>
  <c r="J27" s="1"/>
  <c r="I5" i="48"/>
  <c r="P22"/>
  <c r="G13"/>
  <c r="G31" s="1"/>
  <c r="H18" i="14"/>
  <c r="C22"/>
  <c r="K23" i="48"/>
  <c r="K33" s="1"/>
  <c r="K15"/>
  <c r="O22"/>
  <c r="D9"/>
  <c r="D27" s="1"/>
  <c r="E20" i="14"/>
  <c r="E22" s="1"/>
  <c r="O5" i="48"/>
  <c r="O23" s="1"/>
  <c r="P10" i="14"/>
  <c r="E9" i="48"/>
  <c r="E27" s="1"/>
  <c r="F20" i="14"/>
  <c r="F22" s="1"/>
  <c r="P8" i="48"/>
  <c r="P26" s="1"/>
  <c r="Q13" i="14"/>
  <c r="Q16" s="1"/>
  <c r="Q27" s="1"/>
  <c r="J6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G10" i="48" l="1"/>
  <c r="H19" i="14"/>
  <c r="I15" i="48"/>
  <c r="I23"/>
  <c r="I33" s="1"/>
  <c r="E4"/>
  <c r="F11" i="14"/>
  <c r="R11" s="1"/>
  <c r="O8" i="48"/>
  <c r="O26" s="1"/>
  <c r="O33" s="1"/>
  <c r="P13" i="14"/>
  <c r="P16" s="1"/>
  <c r="P27" s="1"/>
  <c r="K11"/>
  <c r="J4" i="48"/>
  <c r="N4"/>
  <c r="N22" s="1"/>
  <c r="O11" i="14"/>
  <c r="Q63"/>
  <c r="O15" i="48"/>
  <c r="P33"/>
  <c r="P15"/>
  <c r="M10"/>
  <c r="M28" s="1"/>
  <c r="N19" i="14"/>
  <c r="N22" s="1"/>
  <c r="N27" s="1"/>
  <c r="E7" i="48"/>
  <c r="E25" s="1"/>
  <c r="F24" i="14"/>
  <c r="F26" s="1"/>
  <c r="J63"/>
  <c r="P46"/>
  <c r="P61" s="1"/>
  <c r="E12" i="17"/>
  <c r="F54" i="14" s="1"/>
  <c r="F56"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28" i="48" l="1"/>
  <c r="Q10"/>
  <c r="J22"/>
  <c r="H22" i="14"/>
  <c r="H27" s="1"/>
  <c r="R19"/>
  <c r="P63"/>
  <c r="Q7" i="48"/>
  <c r="F10" i="14"/>
  <c r="E5" i="48"/>
  <c r="E23" s="1"/>
  <c r="G9"/>
  <c r="H20" i="14"/>
  <c r="J5" i="48"/>
  <c r="J23" s="1"/>
  <c r="K10" i="14"/>
  <c r="E22" i="48"/>
  <c r="Q4"/>
  <c r="N52" i="14"/>
  <c r="N61" s="1"/>
  <c r="M15" i="48"/>
  <c r="M27"/>
  <c r="M33" s="1"/>
  <c r="R22" i="14"/>
  <c r="Q9" i="48"/>
  <c r="H15"/>
  <c r="H27"/>
  <c r="H33" s="1"/>
  <c r="N63" i="14"/>
  <c r="R20"/>
  <c r="R24"/>
  <c r="R26" s="1"/>
  <c r="N18" i="16"/>
  <c r="E20" i="15"/>
  <c r="F40" i="14" s="1"/>
  <c r="F18" i="16"/>
  <c r="J18"/>
  <c r="E18"/>
  <c r="G18" i="22"/>
  <c r="H50" i="14" s="1"/>
  <c r="H52" s="1"/>
  <c r="H61" s="1"/>
  <c r="H63" s="1"/>
  <c r="H18" i="22"/>
  <c r="I50" i="14" s="1"/>
  <c r="I52" s="1"/>
  <c r="I61" s="1"/>
  <c r="I63" s="1"/>
  <c r="K13" l="1"/>
  <c r="J8" i="48"/>
  <c r="J26" s="1"/>
  <c r="E8"/>
  <c r="E26" s="1"/>
  <c r="E33" s="1"/>
  <c r="F13" i="14"/>
  <c r="F16" s="1"/>
  <c r="F27" s="1"/>
  <c r="K16"/>
  <c r="K27" s="1"/>
  <c r="K63" s="1"/>
  <c r="G27" i="48"/>
  <c r="G33" s="1"/>
  <c r="G15"/>
  <c r="J33"/>
  <c r="J15"/>
  <c r="N8"/>
  <c r="N26" s="1"/>
  <c r="O13" i="14"/>
  <c r="F8" i="48"/>
  <c r="G13" i="14"/>
  <c r="E22" i="16"/>
  <c r="F43" i="14" s="1"/>
  <c r="F46" s="1"/>
  <c r="F61" s="1"/>
  <c r="F22" i="16"/>
  <c r="G43" i="14" s="1"/>
  <c r="N22" i="16"/>
  <c r="O43" i="14" s="1"/>
  <c r="J22" i="16"/>
  <c r="K43" i="14" s="1"/>
  <c r="K46" s="1"/>
  <c r="K61" s="1"/>
  <c r="F63" l="1"/>
  <c r="E15" i="48"/>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<sst xmlns="http://schemas.openxmlformats.org/spreadsheetml/2006/main" count="2383" uniqueCount="881">
  <si>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</si>
  <si>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</si>
  <si>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</si>
  <si>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</si>
  <si>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</si>
  <si>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</si>
  <si>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</si>
  <si>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</si>
  <si>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</si>
  <si>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</si>
  <si>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</si>
  <si>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</si>
  <si>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</si>
  <si>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</si>
  <si>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</si>
  <si>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</si>
  <si>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</si>
  <si>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</si>
  <si>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</si>
  <si>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</si>
  <si>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</si>
  <si>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</si>
  <si>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</si>
  <si>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</si>
  <si>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</si>
  <si>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</si>
  <si>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</si>
  <si>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</si>
  <si>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</si>
  <si>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</si>
  <si>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</si>
  <si>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</si>
  <si>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</si>
  <si>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</si>
  <si>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</si>
  <si>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</si>
  <si>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</si>
  <si>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</si>
  <si>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</si>
  <si>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</si>
  <si>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</si>
  <si>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</si>
  <si>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</si>
  <si>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</si>
  <si>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</si>
  <si>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</si>
  <si>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</si>
  <si>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</si>
  <si>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</si>
  <si>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</si>
  <si>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</si>
  <si>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</si>
  <si>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</si>
  <si>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</si>
  <si>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</si>
  <si>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</si>
  <si>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</si>
  <si>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</si>
  <si>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</si>
  <si>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</si>
  <si>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</si>
  <si>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</si>
  <si>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</si>
  <si>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</si>
  <si>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</si>
  <si>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</si>
  <si>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</si>
  <si>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</si>
  <si>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</si>
  <si>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</si>
  <si>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</si>
  <si>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</si>
  <si>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</si>
  <si>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</si>
  <si>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</si>
  <si>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</si>
  <si>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</si>
  <si>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</si>
  <si>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</si>
  <si>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</si>
  <si>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</si>
  <si>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</si>
  <si>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</si>
  <si>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</si>
  <si>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</si>
  <si>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</si>
  <si>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</si>
  <si>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</si>
  <si>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</si>
  <si>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</si>
  <si>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</si>
  <si>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</si>
  <si>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</si>
  <si>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</si>
  <si>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</si>
  <si>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</si>
  <si>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</si>
  <si>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</si>
  <si>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</si>
  <si>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</si>
  <si>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</si>
  <si>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</si>
  <si>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</si>
  <si>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</si>
  <si>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</si>
  <si>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</si>
  <si>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</si>
  <si>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</si>
  <si>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</si>
  <si>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</si>
  <si>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</si>
  <si>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</si>
  <si>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</si>
  <si>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</si>
  <si>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</si>
  <si>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</si>
  <si>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</si>
  <si>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</si>
  <si>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</si>
  <si>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</si>
  <si>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</si>
  <si>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</si>
  <si>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</si>
  <si>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</si>
  <si>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</si>
  <si>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</si>
  <si>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</si>
  <si>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</si>
  <si>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</si>
  <si>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</si>
  <si>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</si>
  <si>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</si>
  <si>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</si>
  <si>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</si>
  <si>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</si>
  <si>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</si>
  <si>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</si>
  <si>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</si>
  <si>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</si>
  <si>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</si>
  <si>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</si>
  <si>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</si>
  <si>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</si>
  <si>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</si>
  <si>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</si>
  <si>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</si>
  <si>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</si>
  <si>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</si>
  <si>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</si>
  <si>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</si>
  <si>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</si>
  <si>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</si>
  <si>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</si>
  <si>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</si>
  <si>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</si>
  <si>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</si>
  <si>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</si>
  <si>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</si>
  <si>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</si>
  <si>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</si>
  <si>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</si>
  <si>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</si>
  <si>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</si>
  <si>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</si>
  <si>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</si>
  <si>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</si>
  <si>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</si>
  <si>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</si>
  <si>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</si>
  <si>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</si>
  <si>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</si>
  <si>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</si>
  <si>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</si>
  <si>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</si>
  <si>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</si>
  <si>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</si>
  <si>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</si>
  <si>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</si>
  <si>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</si>
  <si>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</si>
  <si>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</si>
  <si>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</si>
  <si>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</si>
  <si>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</si>
  <si>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</si>
  <si>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</si>
  <si>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</si>
  <si>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</si>
  <si>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</si>
  <si>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</si>
  <si>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</si>
  <si>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</si>
  <si>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</si>
  <si>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</si>
  <si>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</si>
  <si>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</si>
  <si>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</si>
  <si>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</si>
  <si>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</si>
  <si>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</si>
  <si>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</si>
  <si>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</si>
  <si>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</si>
  <si>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</si>
  <si>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</si>
  <si>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</si>
  <si>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</si>
  <si>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</si>
  <si>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</si>
  <si>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</si>
  <si>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</si>
  <si>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</si>
  <si>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</si>
  <si>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</si>
  <si>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</si>
  <si>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</si>
  <si>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</si>
  <si>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</si>
  <si>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</si>
  <si>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</si>
  <si>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</si>
  <si>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</si>
  <si>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</si>
  <si>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</si>
  <si>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</si>
  <si>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</si>
  <si>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</si>
  <si>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</si>
  <si>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</si>
  <si>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</si>
  <si>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</si>
  <si>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</si>
  <si>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</si>
  <si>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</si>
  <si>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</si>
  <si>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</si>
  <si>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</si>
  <si>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</si>
  <si>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</si>
  <si>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</si>
  <si>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</si>
  <si>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</si>
  <si>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</si>
  <si>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</si>
  <si>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</si>
  <si>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</si>
  <si>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</si>
  <si>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</si>
  <si>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</si>
  <si>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</si>
  <si>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</si>
  <si>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</si>
  <si>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</si>
  <si>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</si>
  <si>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</si>
  <si>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</si>
  <si>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</si>
  <si>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</si>
  <si>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</si>
  <si>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</si>
  <si>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</si>
  <si>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</si>
  <si>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</si>
  <si>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</si>
  <si>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</si>
  <si>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</si>
  <si>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</si>
  <si>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</si>
  <si>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</si>
  <si>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</si>
  <si>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</si>
  <si>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</si>
  <si>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</si>
  <si>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</si>
  <si>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</si>
  <si>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</si>
  <si>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</si>
  <si>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</si>
  <si>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</si>
  <si>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</si>
  <si>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</si>
  <si>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</si>
  <si>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</si>
  <si>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</si>
  <si>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</si>
  <si>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</si>
  <si>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</si>
  <si>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</si>
  <si>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</si>
  <si>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</si>
  <si>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</si>
  <si>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</si>
  <si>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</si>
  <si>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</si>
  <si>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</si>
  <si>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</si>
  <si>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</si>
  <si>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</si>
  <si>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</si>
  <si>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</si>
  <si>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</si>
  <si>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</si>
  <si>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</si>
  <si>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</si>
  <si>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</si>
  <si>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</si>
  <si>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</si>
  <si>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</si>
  <si>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</si>
  <si>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</si>
  <si>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</si>
  <si>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</si>
  <si>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</si>
  <si>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</si>
  <si>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</si>
  <si>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</si>
  <si>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</si>
  <si>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</si>
  <si>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</si>
  <si>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</si>
  <si>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</si>
  <si>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</si>
  <si>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</si>
  <si>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</si>
  <si>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</si>
  <si>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</si>
  <si>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</si>
  <si>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</si>
  <si>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</si>
  <si>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</si>
  <si>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</si>
  <si>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</si>
  <si>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</si>
  <si>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</si>
  <si>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</si>
  <si>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</si>
  <si>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</si>
  <si>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</si>
  <si>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</si>
  <si>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</si>
  <si>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</si>
  <si>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</si>
  <si>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</si>
  <si>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</si>
  <si>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</si>
  <si>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</si>
  <si>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</si>
  <si>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</si>
  <si>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</si>
  <si>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</si>
  <si>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</si>
  <si>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</si>
  <si>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</si>
  <si>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</si>
  <si>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</si>
  <si>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</si>
  <si>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</si>
  <si>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</si>
  <si>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</si>
  <si>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</si>
  <si>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</si>
  <si>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</si>
  <si>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</si>
  <si>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</si>
  <si>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</si>
  <si>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</si>
  <si>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</si>
  <si>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</si>
  <si>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</si>
  <si>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</si>
  <si>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</si>
  <si>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</si>
  <si>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</si>
  <si>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</si>
  <si>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</si>
  <si>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</si>
  <si>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</si>
  <si>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</si>
  <si>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</si>
  <si>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</si>
  <si>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</si>
  <si>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</si>
  <si>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</si>
  <si>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</si>
  <si>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</si>
  <si>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</si>
  <si>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</si>
  <si>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</si>
  <si>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</si>
  <si>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</si>
  <si>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</si>
  <si>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</si>
  <si>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</si>
  <si>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</si>
  <si>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</si>
  <si>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</si>
  <si>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</si>
  <si>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</si>
  <si>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</si>
  <si>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</si>
  <si>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</si>
  <si>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</si>
  <si>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</si>
  <si>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</si>
  <si>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</si>
  <si>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</si>
  <si>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</si>
  <si>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</si>
  <si>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</si>
  <si>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</si>
  <si>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</si>
  <si>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</si>
  <si>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</si>
  <si>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</si>
  <si>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</si>
  <si>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</si>
  <si>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</si>
  <si>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</si>
  <si>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</si>
  <si>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</si>
  <si>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</si>
  <si>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</si>
  <si>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</si>
  <si>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</si>
  <si>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</si>
  <si>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</si>
  <si>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</si>
  <si>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</si>
  <si>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</si>
  <si>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</si>
  <si>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</si>
  <si>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</si>
  <si>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</si>
  <si>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</si>
  <si>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</si>
  <si>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</si>
  <si>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</si>
  <si>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</si>
  <si>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</si>
  <si>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</si>
  <si>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</si>
  <si>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</si>
  <si>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</si>
  <si>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</si>
  <si>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</si>
  <si>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</si>
  <si>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</si>
  <si>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</si>
  <si>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</si>
  <si>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</si>
  <si>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</si>
  <si>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</si>
  <si>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</si>
  <si>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</si>
  <si>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</si>
  <si>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</si>
  <si>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</si>
  <si>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</si>
  <si>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</si>
  <si>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</si>
  <si>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</si>
  <si>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</si>
  <si>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</si>
  <si>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</si>
  <si>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</si>
  <si>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</si>
  <si>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</si>
  <si>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</si>
  <si>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</si>
  <si>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</si>
  <si>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</si>
  <si>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</si>
  <si>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</si>
  <si>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</si>
  <si>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</si>
  <si>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</si>
  <si>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</si>
  <si>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</si>
  <si>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</si>
  <si>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</si>
  <si>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</si>
  <si>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</si>
  <si>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</si>
  <si>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</si>
  <si>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</si>
  <si>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</si>
  <si>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</si>
  <si>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</si>
  <si>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</si>
  <si>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</si>
  <si>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</si>
  <si>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</si>
  <si>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</si>
  <si>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</si>
  <si>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</si>
  <si>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</si>
  <si>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</si>
  <si>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</si>
  <si>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</si>
  <si>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</si>
  <si>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</si>
  <si>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</si>
  <si>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</si>
  <si>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</si>
  <si>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</si>
  <si>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</si>
  <si>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</si>
  <si>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</si>
  <si>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</si>
  <si>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</si>
  <si>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</si>
  <si>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</si>
  <si>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</si>
  <si>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</si>
  <si>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</si>
  <si>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</si>
  <si>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</si>
  <si>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</si>
  <si>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</si>
  <si>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</si>
  <si>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</si>
  <si>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</si>
  <si>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</si>
  <si>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</si>
  <si>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</si>
  <si>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</si>
  <si>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</si>
  <si>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</si>
  <si>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</si>
  <si>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</si>
  <si>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</si>
  <si>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</si>
  <si>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</si>
  <si>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</si>
  <si>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</si>
  <si>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</si>
  <si>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</si>
  <si>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</si>
  <si>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</si>
  <si>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</si>
  <si>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</si>
  <si>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</si>
  <si>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</si>
  <si>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</si>
  <si>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</si>
  <si>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</si>
  <si>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</si>
  <si>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</si>
  <si>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</si>
  <si>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</si>
  <si>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</si>
  <si>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</si>
  <si>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</si>
  <si>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</si>
  <si>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</si>
  <si>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</si>
  <si>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</si>
  <si>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</si>
  <si>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</si>
  <si>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</si>
  <si>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</si>
  <si>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</si>
  <si>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</si>
  <si>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</si>
  <si>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</si>
  <si>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</si>
  <si>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</si>
  <si>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</si>
  <si>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</si>
  <si>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</si>
  <si>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</si>
  <si>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</si>
  <si>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</si>
  <si>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</si>
  <si>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</si>
  <si>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</si>
  <si>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</si>
  <si>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</si>
  <si>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</si>
  <si>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</si>
  <si>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</si>
  <si>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</si>
  <si>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</si>
  <si>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</si>
  <si>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</si>
  <si>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</si>
  <si>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</si>
  <si>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</si>
  <si>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</si>
  <si>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</si>
  <si>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</si>
  <si>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</si>
  <si>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</si>
  <si>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</si>
  <si>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</si>
  <si>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</si>
  <si>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</si>
  <si>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</si>
  <si>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</si>
  <si>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</si>
  <si>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</si>
  <si>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</si>
  <si>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</si>
  <si>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</si>
  <si>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</si>
  <si>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</si>
  <si>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</si>
  <si>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</si>
  <si>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</si>
  <si>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</si>
  <si>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</si>
  <si>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</si>
  <si>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</si>
  <si>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</si>
  <si>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</si>
  <si>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</si>
  <si>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</si>
  <si>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</si>
  <si>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</si>
  <si>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</si>
  <si>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</si>
  <si>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</si>
  <si>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</si>
  <si>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</si>
  <si>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</si>
  <si>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</si>
  <si>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</si>
  <si>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</si>
  <si>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</si>
  <si>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</si>
  <si>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</si>
  <si>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</si>
  <si>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</si>
  <si>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</si>
  <si>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</si>
  <si>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</si>
  <si>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</si>
  <si>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</si>
  <si>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</si>
  <si>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</si>
  <si>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</si>
  <si>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</si>
  <si>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</si>
  <si>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</si>
  <si>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</si>
  <si>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</si>
  <si>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</si>
  <si>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</si>
  <si>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</si>
  <si>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</si>
  <si>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</si>
  <si>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</si>
  <si>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</si>
  <si>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</si>
  <si>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</si>
  <si>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</si>
  <si>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</si>
  <si>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</si>
  <si>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</si>
  <si>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</si>
  <si>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</si>
  <si>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</si>
  <si>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</si>
  <si>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</si>
  <si>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</si>
  <si>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</si>
  <si>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</si>
  <si>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</si>
  <si>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</si>
  <si>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</si>
  <si>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</si>
  <si>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</si>
  <si>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</si>
  <si>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</si>
  <si>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</si>
  <si>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</si>
  <si>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</si>
  <si>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</si>
  <si>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</si>
  <si>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</si>
  <si>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</si>
  <si>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</si>
  <si>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</si>
  <si>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</si>
  <si>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</si>
  <si>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</si>
  <si>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</si>
  <si>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</si>
  <si>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</si>
  <si>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</si>
  <si>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</si>
  <si>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</si>
  <si>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</si>
  <si>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</si>
  <si>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</si>
  <si>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</si>
  <si>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</si>
  <si>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</si>
  <si>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</si>
  <si>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</si>
  <si>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</si>
  <si>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</si>
  <si>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</si>
  <si>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</si>
  <si>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</si>
  <si>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</si>
  <si>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</si>
  <si>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</si>
  <si>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</si>
  <si>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</si>
  <si>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</si>
  <si>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</si>
  <si>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</si>
  <si>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</si>
  <si>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</si>
  <si>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</si>
  <si>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</si>
  <si>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</si>
  <si>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</si>
  <si>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</si>
  <si>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</si>
  <si>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</si>
  <si>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</si>
  <si>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</si>
  <si>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</si>
  <si>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</si>
  <si>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</si>
  <si>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</si>
  <si>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</si>
  <si>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</si>
  <si>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</si>
  <si>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</si>
  <si>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</si>
  <si>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</si>
  <si>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</si>
  <si>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</si>
  <si>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</si>
  <si>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</si>
  <si>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</si>
  <si>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</si>
  <si>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</si>
  <si>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</si>
  <si>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</si>
  <si>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</si>
  <si>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</si>
  <si>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</si>
  <si>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</si>
  <si>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</si>
  <si>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</si>
  <si>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</si>
  <si>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</si>
  <si>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</si>
  <si>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</si>
  <si>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</si>
  <si>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</si>
  <si>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</si>
  <si>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</si>
  <si>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</si>
  <si>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</si>
  <si>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</si>
  <si>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</si>
  <si>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</si>
  <si>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</si>
  <si>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</si>
  <si>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</si>
  <si>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</si>
  <si>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</si>
  <si>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</si>
  <si>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</si>
  <si>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</si>
  <si>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</si>
  <si>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</si>
  <si>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</si>
  <si>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</si>
  <si>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</si>
  <si>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</si>
  <si>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</si>
  <si>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</si>
  <si>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</si>
  <si>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</si>
  <si>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</si>
  <si>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</si>
  <si>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</si>
  <si>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</si>
  <si>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</si>
  <si>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</si>
  <si>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</si>
  <si>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</si>
  <si>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</si>
  <si>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</si>
  <si>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</si>
  <si>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</si>
  <si>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</si>
  <si>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</si>
  <si>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</si>
  <si>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</si>
  <si>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</si>
  <si>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</si>
  <si>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</si>
  <si>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</si>
  <si>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</si>
  <si>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</si>
  <si>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</si>
  <si>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</si>
  <si>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</si>
  <si>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</si>
  <si>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</si>
  <si>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</si>
  <si>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</si>
  <si>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</si>
  <si>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</si>
  <si>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</si>
  <si>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</si>
  <si>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</si>
  <si>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</si>
  <si>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</si>
  <si>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</si>
  <si>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</si>
  <si>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</si>
  <si>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</si>
  <si>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</si>
  <si>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</si>
  <si>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</si>
  <si>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</si>
  <si>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</si>
  <si>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</si>
  <si>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</si>
  <si>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</si>
  <si>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</si>
  <si>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</si>
  <si>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</si>
  <si>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</si>
  <si>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</si>
  <si>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</si>
  <si>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</si>
  <si>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</si>
  <si>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</si>
  <si>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</si>
  <si>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</si>
  <si>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</si>
  <si>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</si>
  <si>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</si>
  <si>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</si>
  <si>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</si>
  <si>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</si>
  <si>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</si>
  <si>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</si>
  <si>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</si>
  <si>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</si>
  <si>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</si>
  <si>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</si>
  <si>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</si>
  <si>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</si>
  <si>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</si>
  <si>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</si>
  <si>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</si>
  <si>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</si>
  <si>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</si>
  <si>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</si>
  <si>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</si>
  <si>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</si>
  <si>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</si>
  <si>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</si>
  <si>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</si>
  <si>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</si>
  <si>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</si>
  <si>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</si>
  <si>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</si>
  <si>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</si>
  <si>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</si>
  <si>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</si>
  <si>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</si>
  <si>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</si>
  <si>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41011</t>
  </si>
  <si>
    <t>DENDERLEEUW</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</si>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</sst>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138483.21115414205</c:v>
                </c:pt>
                <c:pt idx="1">
                  <c:v>27870.015839728265</c:v>
                </c:pt>
                <c:pt idx="2">
                  <c:v>1258.098</c:v>
                </c:pt>
                <c:pt idx="3">
                  <c:v>383.50665977456896</c:v>
                </c:pt>
                <c:pt idx="4">
                  <c:v>150763.74237692813</c:v>
                </c:pt>
                <c:pt idx="5">
                  <c:v>53695.822065606393</c:v>
                </c:pt>
                <c:pt idx="6">
                  <c:v>918.93673316709373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2544"/>
        <c:axId val="175454080"/>
      </c:barChart>
      <c:catAx>
        <c:axId val="175452544"/>
        <c:scaling>
          <c:orientation val="minMax"/>
        </c:scaling>
        <c:axPos val="b"/>
        <c:numFmt formatCode="General" sourceLinked="0"/>
        <c:tickLblPos val="nextTo"/>
        <c:crossAx val="175454080"/>
        <c:crosses val="autoZero"/>
        <c:auto val="1"/>
        <c:lblAlgn val="ctr"/>
        <c:lblOffset val="100"/>
      </c:catAx>
      <c:valAx>
        <c:axId val="175454080"/>
        <c:scaling>
          <c:orientation val="minMax"/>
        </c:scaling>
        <c:axPos val="l"/>
        <c:majorGridlines>
          <c:spPr>
            <a:ln>
              <a:noFill/>
            </a:ln>
          </c:spPr>
        </c:majorGridlines>
        <c:numFmt formatCode="#,##0" sourceLinked="1"/>
        <c:tickLblPos val="nextTo"/>
        <c:crossAx val="17545254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138483.21115414205</c:v>
                </c:pt>
                <c:pt idx="1">
                  <c:v>27870.015839728265</c:v>
                </c:pt>
                <c:pt idx="2">
                  <c:v>1258.098</c:v>
                </c:pt>
                <c:pt idx="3">
                  <c:v>383.50665977456896</c:v>
                </c:pt>
                <c:pt idx="4">
                  <c:v>150763.74237692813</c:v>
                </c:pt>
                <c:pt idx="5">
                  <c:v>53695.822065606393</c:v>
                </c:pt>
                <c:pt idx="6">
                  <c:v>918.93673316709373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27380.966566719861</c:v>
                </c:pt>
                <c:pt idx="2">
                  <c:v>5526.3905464165036</c:v>
                </c:pt>
                <c:pt idx="3">
                  <c:v>260.49842403509012</c:v>
                </c:pt>
                <c:pt idx="4">
                  <c:v>95.131844612806646</c:v>
                </c:pt>
                <c:pt idx="5">
                  <c:v>29992.285500887912</c:v>
                </c:pt>
                <c:pt idx="6">
                  <c:v>13418.273662259144</c:v>
                </c:pt>
                <c:pt idx="7">
                  <c:v>232.16988331500582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67840"/>
        <c:axId val="175677824"/>
      </c:barChart>
      <c:catAx>
        <c:axId val="175667840"/>
        <c:scaling>
          <c:orientation val="minMax"/>
        </c:scaling>
        <c:axPos val="b"/>
        <c:numFmt formatCode="General" sourceLinked="0"/>
        <c:tickLblPos val="nextTo"/>
        <c:crossAx val="175677824"/>
        <c:crosses val="autoZero"/>
        <c:auto val="1"/>
        <c:lblAlgn val="ctr"/>
        <c:lblOffset val="100"/>
      </c:catAx>
      <c:valAx>
        <c:axId val="175677824"/>
        <c:scaling>
          <c:orientation val="minMax"/>
        </c:scaling>
        <c:axPos val="l"/>
        <c:majorGridlines>
          <c:spPr>
            <a:ln>
              <a:noFill/>
            </a:ln>
          </c:spPr>
        </c:majorGridlines>
        <c:numFmt formatCode="#,##0" sourceLinked="1"/>
        <c:tickLblPos val="nextTo"/>
        <c:crossAx val="17566784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27380.966566719861</c:v>
                </c:pt>
                <c:pt idx="2">
                  <c:v>5526.3905464165036</c:v>
                </c:pt>
                <c:pt idx="3">
                  <c:v>260.49842403509012</c:v>
                </c:pt>
                <c:pt idx="4">
                  <c:v>95.131844612806646</c:v>
                </c:pt>
                <c:pt idx="5">
                  <c:v>29992.285500887912</c:v>
                </c:pt>
                <c:pt idx="6">
                  <c:v>13418.273662259144</c:v>
                </c:pt>
                <c:pt idx="7">
                  <c:v>232.16988331500582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41011</v>
      </c>
      <c r="B6" s="415"/>
      <c r="C6" s="416"/>
    </row>
    <row r="7" spans="1:7" s="413" customFormat="1" ht="15.75" customHeight="1">
      <c r="A7" s="417" t="str">
        <f>txtMunicipality</f>
        <v>DENDERLEEUW</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0.20705733896333206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0.20705733896333206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8130</v>
      </c>
      <c r="C9" s="342">
        <v>8779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384.03</v>
      </c>
    </row>
    <row r="15" spans="1:6">
      <c r="A15" s="348" t="s">
        <v>184</v>
      </c>
      <c r="B15" s="334">
        <v>2</v>
      </c>
    </row>
    <row r="16" spans="1:6">
      <c r="A16" s="348" t="s">
        <v>6</v>
      </c>
      <c r="B16" s="334">
        <v>85</v>
      </c>
    </row>
    <row r="17" spans="1:6">
      <c r="A17" s="348" t="s">
        <v>7</v>
      </c>
      <c r="B17" s="334">
        <v>66</v>
      </c>
    </row>
    <row r="18" spans="1:6">
      <c r="A18" s="348" t="s">
        <v>8</v>
      </c>
      <c r="B18" s="334">
        <v>92</v>
      </c>
    </row>
    <row r="19" spans="1:6">
      <c r="A19" s="348" t="s">
        <v>9</v>
      </c>
      <c r="B19" s="334">
        <v>94</v>
      </c>
    </row>
    <row r="20" spans="1:6">
      <c r="A20" s="348" t="s">
        <v>10</v>
      </c>
      <c r="B20" s="334">
        <v>65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440</v>
      </c>
    </row>
    <row r="27" spans="1:6">
      <c r="A27" s="348" t="s">
        <v>17</v>
      </c>
      <c r="B27" s="334">
        <v>0</v>
      </c>
    </row>
    <row r="28" spans="1:6" s="356" customFormat="1">
      <c r="A28" s="355" t="s">
        <v>18</v>
      </c>
      <c r="B28" s="355">
        <v>0</v>
      </c>
    </row>
    <row r="29" spans="1:6">
      <c r="A29" s="355" t="s">
        <v>744</v>
      </c>
      <c r="B29" s="355">
        <v>12</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367668.94386031601</v>
      </c>
      <c r="E38" s="334">
        <v>3</v>
      </c>
      <c r="F38" s="334">
        <v>37286.220149870001</v>
      </c>
    </row>
    <row r="39" spans="1:6">
      <c r="A39" s="348" t="s">
        <v>30</v>
      </c>
      <c r="B39" s="348" t="s">
        <v>31</v>
      </c>
      <c r="C39" s="334">
        <v>5460</v>
      </c>
      <c r="D39" s="334">
        <v>86230539.919503793</v>
      </c>
      <c r="E39" s="334">
        <v>8226</v>
      </c>
      <c r="F39" s="334">
        <v>30220721.936037499</v>
      </c>
    </row>
    <row r="40" spans="1:6">
      <c r="A40" s="348" t="s">
        <v>30</v>
      </c>
      <c r="B40" s="348" t="s">
        <v>29</v>
      </c>
      <c r="C40" s="334">
        <v>0</v>
      </c>
      <c r="D40" s="334">
        <v>0</v>
      </c>
      <c r="E40" s="334">
        <v>0</v>
      </c>
      <c r="F40" s="334">
        <v>0</v>
      </c>
    </row>
    <row r="41" spans="1:6">
      <c r="A41" s="348" t="s">
        <v>32</v>
      </c>
      <c r="B41" s="348" t="s">
        <v>33</v>
      </c>
      <c r="C41" s="334">
        <v>63</v>
      </c>
      <c r="D41" s="334">
        <v>884224.00608814706</v>
      </c>
      <c r="E41" s="334">
        <v>132</v>
      </c>
      <c r="F41" s="334">
        <v>1940757.7007486301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27775.934295692001</v>
      </c>
    </row>
    <row r="45" spans="1:6">
      <c r="A45" s="348" t="s">
        <v>32</v>
      </c>
      <c r="B45" s="348" t="s">
        <v>37</v>
      </c>
      <c r="C45" s="334">
        <v>0</v>
      </c>
      <c r="D45" s="334">
        <v>0</v>
      </c>
      <c r="E45" s="334">
        <v>4</v>
      </c>
      <c r="F45" s="334">
        <v>191949.13262578801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44</v>
      </c>
      <c r="D48" s="334">
        <v>130675982.16030601</v>
      </c>
      <c r="E48" s="334">
        <v>58</v>
      </c>
      <c r="F48" s="334">
        <v>17824034.2105476</v>
      </c>
    </row>
    <row r="49" spans="1:6">
      <c r="A49" s="348" t="s">
        <v>32</v>
      </c>
      <c r="B49" s="348" t="s">
        <v>40</v>
      </c>
      <c r="C49" s="334">
        <v>0</v>
      </c>
      <c r="D49" s="334">
        <v>0</v>
      </c>
      <c r="E49" s="334">
        <v>0</v>
      </c>
      <c r="F49" s="334">
        <v>0</v>
      </c>
    </row>
    <row r="50" spans="1:6">
      <c r="A50" s="348" t="s">
        <v>32</v>
      </c>
      <c r="B50" s="348" t="s">
        <v>41</v>
      </c>
      <c r="C50" s="334">
        <v>8</v>
      </c>
      <c r="D50" s="334">
        <v>371418.53900243598</v>
      </c>
      <c r="E50" s="334">
        <v>12</v>
      </c>
      <c r="F50" s="334">
        <v>277628.80068202002</v>
      </c>
    </row>
    <row r="51" spans="1:6">
      <c r="A51" s="348" t="s">
        <v>42</v>
      </c>
      <c r="B51" s="348" t="s">
        <v>43</v>
      </c>
      <c r="C51" s="334">
        <v>0</v>
      </c>
      <c r="D51" s="334">
        <v>0</v>
      </c>
      <c r="E51" s="334">
        <v>0</v>
      </c>
      <c r="F51" s="334">
        <v>0</v>
      </c>
    </row>
    <row r="52" spans="1:6">
      <c r="A52" s="348" t="s">
        <v>42</v>
      </c>
      <c r="B52" s="348" t="s">
        <v>29</v>
      </c>
      <c r="C52" s="334">
        <v>2</v>
      </c>
      <c r="D52" s="334">
        <v>74955.183279530407</v>
      </c>
      <c r="E52" s="334">
        <v>9</v>
      </c>
      <c r="F52" s="334">
        <v>59154.347547702302</v>
      </c>
    </row>
    <row r="53" spans="1:6">
      <c r="A53" s="348" t="s">
        <v>44</v>
      </c>
      <c r="B53" s="348" t="s">
        <v>45</v>
      </c>
      <c r="C53" s="334">
        <v>111</v>
      </c>
      <c r="D53" s="334">
        <v>2890606.5643578698</v>
      </c>
      <c r="E53" s="334">
        <v>268</v>
      </c>
      <c r="F53" s="334">
        <v>627101.19162796799</v>
      </c>
    </row>
    <row r="54" spans="1:6">
      <c r="A54" s="348" t="s">
        <v>46</v>
      </c>
      <c r="B54" s="348" t="s">
        <v>47</v>
      </c>
      <c r="C54" s="334">
        <v>0</v>
      </c>
      <c r="D54" s="334">
        <v>0</v>
      </c>
      <c r="E54" s="334">
        <v>1</v>
      </c>
      <c r="F54" s="334">
        <v>1258098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2513998.99330298</v>
      </c>
      <c r="E57" s="334">
        <v>129</v>
      </c>
      <c r="F57" s="334">
        <v>1288407.1158011099</v>
      </c>
    </row>
    <row r="58" spans="1:6">
      <c r="A58" s="348" t="s">
        <v>49</v>
      </c>
      <c r="B58" s="348" t="s">
        <v>51</v>
      </c>
      <c r="C58" s="334">
        <v>7</v>
      </c>
      <c r="D58" s="334">
        <v>755679.652092395</v>
      </c>
      <c r="E58" s="334">
        <v>16</v>
      </c>
      <c r="F58" s="334">
        <v>559361.83431052102</v>
      </c>
    </row>
    <row r="59" spans="1:6">
      <c r="A59" s="348" t="s">
        <v>49</v>
      </c>
      <c r="B59" s="348" t="s">
        <v>52</v>
      </c>
      <c r="C59" s="334">
        <v>31</v>
      </c>
      <c r="D59" s="334">
        <v>1484322.9655043001</v>
      </c>
      <c r="E59" s="334">
        <v>113</v>
      </c>
      <c r="F59" s="334">
        <v>3950942.5317870099</v>
      </c>
    </row>
    <row r="60" spans="1:6">
      <c r="A60" s="348" t="s">
        <v>49</v>
      </c>
      <c r="B60" s="348" t="s">
        <v>53</v>
      </c>
      <c r="C60" s="334">
        <v>45</v>
      </c>
      <c r="D60" s="334">
        <v>1523324.6614655999</v>
      </c>
      <c r="E60" s="334">
        <v>59</v>
      </c>
      <c r="F60" s="334">
        <v>976951.86638257105</v>
      </c>
    </row>
    <row r="61" spans="1:6">
      <c r="A61" s="348" t="s">
        <v>49</v>
      </c>
      <c r="B61" s="348" t="s">
        <v>54</v>
      </c>
      <c r="C61" s="334">
        <v>68</v>
      </c>
      <c r="D61" s="334">
        <v>1959834.1967313101</v>
      </c>
      <c r="E61" s="334">
        <v>193</v>
      </c>
      <c r="F61" s="334">
        <v>2124006.8063356299</v>
      </c>
    </row>
    <row r="62" spans="1:6">
      <c r="A62" s="348" t="s">
        <v>49</v>
      </c>
      <c r="B62" s="348" t="s">
        <v>55</v>
      </c>
      <c r="C62" s="334">
        <v>6</v>
      </c>
      <c r="D62" s="334">
        <v>442471.61660025403</v>
      </c>
      <c r="E62" s="334">
        <v>9</v>
      </c>
      <c r="F62" s="334">
        <v>506089.32505218999</v>
      </c>
    </row>
    <row r="63" spans="1:6">
      <c r="A63" s="348" t="s">
        <v>49</v>
      </c>
      <c r="B63" s="348" t="s">
        <v>29</v>
      </c>
      <c r="C63" s="334">
        <v>131</v>
      </c>
      <c r="D63" s="334">
        <v>5296165.2665684298</v>
      </c>
      <c r="E63" s="334">
        <v>167</v>
      </c>
      <c r="F63" s="334">
        <v>2098428.8146798401</v>
      </c>
    </row>
    <row r="64" spans="1:6">
      <c r="A64" s="348" t="s">
        <v>56</v>
      </c>
      <c r="B64" s="348" t="s">
        <v>57</v>
      </c>
      <c r="C64" s="334">
        <v>0</v>
      </c>
      <c r="D64" s="334">
        <v>0</v>
      </c>
      <c r="E64" s="334">
        <v>0</v>
      </c>
      <c r="F64" s="334">
        <v>0</v>
      </c>
    </row>
    <row r="65" spans="1:6">
      <c r="A65" s="348" t="s">
        <v>56</v>
      </c>
      <c r="B65" s="348" t="s">
        <v>29</v>
      </c>
      <c r="C65" s="334">
        <v>4</v>
      </c>
      <c r="D65" s="334">
        <v>69583.846690837396</v>
      </c>
      <c r="E65" s="334">
        <v>6</v>
      </c>
      <c r="F65" s="334">
        <v>15115.290927456101</v>
      </c>
    </row>
    <row r="66" spans="1:6">
      <c r="A66" s="348" t="s">
        <v>56</v>
      </c>
      <c r="B66" s="348" t="s">
        <v>58</v>
      </c>
      <c r="C66" s="334">
        <v>0</v>
      </c>
      <c r="D66" s="334">
        <v>0</v>
      </c>
      <c r="E66" s="334">
        <v>6</v>
      </c>
      <c r="F66" s="334">
        <v>133028.10234902601</v>
      </c>
    </row>
    <row r="67" spans="1:6">
      <c r="A67" s="355" t="s">
        <v>56</v>
      </c>
      <c r="B67" s="355" t="s">
        <v>59</v>
      </c>
      <c r="C67" s="334">
        <v>0</v>
      </c>
      <c r="D67" s="334">
        <v>0</v>
      </c>
      <c r="E67" s="334">
        <v>0</v>
      </c>
      <c r="F67" s="334">
        <v>0</v>
      </c>
    </row>
    <row r="68" spans="1:6">
      <c r="A68" s="341" t="s">
        <v>56</v>
      </c>
      <c r="B68" s="341" t="s">
        <v>60</v>
      </c>
      <c r="C68" s="334">
        <v>4</v>
      </c>
      <c r="D68" s="334">
        <v>94668.592495876306</v>
      </c>
      <c r="E68" s="334">
        <v>4</v>
      </c>
      <c r="F68" s="334">
        <v>17467.773217814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26348025</v>
      </c>
      <c r="E73" s="475">
        <v>24334830.451623473</v>
      </c>
    </row>
    <row r="74" spans="1:6">
      <c r="A74" s="348" t="s">
        <v>64</v>
      </c>
      <c r="B74" s="348" t="s">
        <v>657</v>
      </c>
      <c r="C74" s="1295" t="s">
        <v>659</v>
      </c>
      <c r="D74" s="475">
        <v>1507196.5</v>
      </c>
      <c r="E74" s="475">
        <v>1487225.9620679466</v>
      </c>
    </row>
    <row r="75" spans="1:6">
      <c r="A75" s="348" t="s">
        <v>65</v>
      </c>
      <c r="B75" s="348" t="s">
        <v>656</v>
      </c>
      <c r="C75" s="1295" t="s">
        <v>660</v>
      </c>
      <c r="D75" s="475">
        <v>28207650</v>
      </c>
      <c r="E75" s="475">
        <v>26002890.01805605</v>
      </c>
    </row>
    <row r="76" spans="1:6">
      <c r="A76" s="348" t="s">
        <v>65</v>
      </c>
      <c r="B76" s="348" t="s">
        <v>657</v>
      </c>
      <c r="C76" s="1295" t="s">
        <v>661</v>
      </c>
      <c r="D76" s="475">
        <v>569634.5</v>
      </c>
      <c r="E76" s="475">
        <v>556412.00186454505</v>
      </c>
    </row>
    <row r="77" spans="1:6">
      <c r="A77" s="348" t="s">
        <v>66</v>
      </c>
      <c r="B77" s="348" t="s">
        <v>656</v>
      </c>
      <c r="C77" s="1295" t="s">
        <v>662</v>
      </c>
      <c r="D77" s="475">
        <v>6338955</v>
      </c>
      <c r="E77" s="475">
        <v>6654942.3041345924</v>
      </c>
    </row>
    <row r="78" spans="1:6">
      <c r="A78" s="341" t="s">
        <v>66</v>
      </c>
      <c r="B78" s="341" t="s">
        <v>657</v>
      </c>
      <c r="C78" s="341" t="s">
        <v>663</v>
      </c>
      <c r="D78" s="1296">
        <v>750092</v>
      </c>
      <c r="E78" s="1296">
        <v>764360.98040996678</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249231</v>
      </c>
      <c r="C83" s="475">
        <v>248274.44908809243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3257.983061832223</v>
      </c>
    </row>
    <row r="92" spans="1:6">
      <c r="A92" s="341" t="s">
        <v>69</v>
      </c>
      <c r="B92" s="342">
        <v>982.43747614593565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2673</v>
      </c>
    </row>
    <row r="98" spans="1:6">
      <c r="A98" s="348" t="s">
        <v>72</v>
      </c>
      <c r="B98" s="334">
        <v>0</v>
      </c>
    </row>
    <row r="99" spans="1:6">
      <c r="A99" s="348" t="s">
        <v>73</v>
      </c>
      <c r="B99" s="334">
        <v>112</v>
      </c>
    </row>
    <row r="100" spans="1:6">
      <c r="A100" s="348" t="s">
        <v>74</v>
      </c>
      <c r="B100" s="334">
        <v>655</v>
      </c>
    </row>
    <row r="101" spans="1:6">
      <c r="A101" s="348" t="s">
        <v>75</v>
      </c>
      <c r="B101" s="334">
        <v>40</v>
      </c>
    </row>
    <row r="102" spans="1:6">
      <c r="A102" s="348" t="s">
        <v>76</v>
      </c>
      <c r="B102" s="334">
        <v>98</v>
      </c>
    </row>
    <row r="103" spans="1:6">
      <c r="A103" s="348" t="s">
        <v>77</v>
      </c>
      <c r="B103" s="334">
        <v>226</v>
      </c>
    </row>
    <row r="104" spans="1:6">
      <c r="A104" s="348" t="s">
        <v>78</v>
      </c>
      <c r="B104" s="334">
        <v>2985</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3</v>
      </c>
    </row>
    <row r="131" spans="1:6">
      <c r="A131" s="348" t="s">
        <v>296</v>
      </c>
      <c r="B131" s="334">
        <v>9</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67213.348759508575</v>
      </c>
      <c r="C3" s="43" t="s">
        <v>170</v>
      </c>
      <c r="D3" s="43"/>
      <c r="E3" s="154"/>
      <c r="F3" s="43"/>
      <c r="G3" s="43"/>
      <c r="H3" s="43"/>
      <c r="I3" s="43"/>
      <c r="J3" s="43"/>
      <c r="K3" s="96"/>
    </row>
    <row r="4" spans="1:11">
      <c r="A4" s="383" t="s">
        <v>171</v>
      </c>
      <c r="B4" s="49">
        <f>IF(ISERROR('SEAP template'!B78+'SEAP template'!C78),0,'SEAP template'!B78+'SEAP template'!C78)</f>
        <v>4240.4205379781588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0.20705733896333206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1258.098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1258.098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0.20705733896333206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260.49842403509012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30220.721936037498</v>
      </c>
      <c r="C5" s="17">
        <f>IF(ISERROR('Eigen informatie GS &amp; warmtenet'!B57),0,'Eigen informatie GS &amp; warmtenet'!B57)</f>
        <v>0</v>
      </c>
      <c r="D5" s="30">
        <f>(SUM(HH_hh_gas_kWh,HH_rest_gas_kWh)/1000)*0.902</f>
        <v>77779.947007392417</v>
      </c>
      <c r="E5" s="17">
        <f>B46*B57</f>
        <v>6354.0663251773685</v>
      </c>
      <c r="F5" s="17">
        <f>B51*B62</f>
        <v>12340.946242000062</v>
      </c>
      <c r="G5" s="18"/>
      <c r="H5" s="17"/>
      <c r="I5" s="17"/>
      <c r="J5" s="17">
        <f>B50*B61+C50*C61</f>
        <v>0</v>
      </c>
      <c r="K5" s="17"/>
      <c r="L5" s="17"/>
      <c r="M5" s="17"/>
      <c r="N5" s="17">
        <f>B48*B59+C48*C59</f>
        <v>7733.6832483691333</v>
      </c>
      <c r="O5" s="17">
        <f>B69*B70*B71</f>
        <v>204.79666666666668</v>
      </c>
      <c r="P5" s="17">
        <f>B77*B78*B79/1000-B77*B78*B79/1000/B80</f>
        <v>591.06666666666661</v>
      </c>
    </row>
    <row r="6" spans="1:16">
      <c r="A6" s="16" t="s">
        <v>621</v>
      </c>
      <c r="B6" s="788">
        <f>kWh_PV_kleiner_dan_10kW</f>
        <v>3257.983061832223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33478.704997869718</v>
      </c>
      <c r="C8" s="21">
        <f>C5</f>
        <v>0</v>
      </c>
      <c r="D8" s="21">
        <f>D5</f>
        <v>77779.947007392417</v>
      </c>
      <c r="E8" s="21">
        <f>E5</f>
        <v>6354.0663251773685</v>
      </c>
      <c r="F8" s="21">
        <f>F5</f>
        <v>12340.946242000062</v>
      </c>
      <c r="G8" s="21"/>
      <c r="H8" s="21"/>
      <c r="I8" s="21"/>
      <c r="J8" s="21">
        <f>J5</f>
        <v>0</v>
      </c>
      <c r="K8" s="21"/>
      <c r="L8" s="21">
        <f>L5</f>
        <v>0</v>
      </c>
      <c r="M8" s="21">
        <f>M5</f>
        <v>0</v>
      </c>
      <c r="N8" s="21">
        <f>N5</f>
        <v>7733.6832483691333</v>
      </c>
      <c r="O8" s="21">
        <f>O5</f>
        <v>204.79666666666668</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0.20705733896333206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6932.0115687973093</v>
      </c>
      <c r="C12" s="23">
        <f ca="1">C10*C8</f>
        <v>0</v>
      </c>
      <c r="D12" s="23">
        <f>D8*D10</f>
        <v>15711.549295493269</v>
      </c>
      <c r="E12" s="23">
        <f>E10*E8</f>
        <v>1442.3730558152627</v>
      </c>
      <c r="F12" s="23">
        <f>F10*F8</f>
        <v>3295.0326466140168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2673</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13.878562577447337</v>
      </c>
      <c r="D20" s="229"/>
      <c r="E20" s="15"/>
    </row>
    <row r="21" spans="1:7">
      <c r="A21" s="171" t="s">
        <v>74</v>
      </c>
      <c r="B21" s="37">
        <f>aantalw2001_elektriciteit</f>
        <v>655</v>
      </c>
      <c r="C21" s="167">
        <f>IF(ISERROR(B21/SUM($B$20,$B$21,$B$22)*100),0,B21/SUM($B$20,$B$21,$B$22)*100)</f>
        <v>81.164807930607182</v>
      </c>
      <c r="D21" s="229"/>
      <c r="E21" s="15"/>
    </row>
    <row r="22" spans="1:7">
      <c r="A22" s="171" t="s">
        <v>75</v>
      </c>
      <c r="B22" s="37">
        <f>aantalw2001_hout</f>
        <v>40</v>
      </c>
      <c r="C22" s="167">
        <f>IF(ISERROR(B22/SUM($B$20,$B$21,$B$22)*100),0,B22/SUM($B$20,$B$21,$B$22)*100)</f>
        <v>4.9566294919454776</v>
      </c>
      <c r="D22" s="229"/>
      <c r="E22" s="15"/>
    </row>
    <row r="23" spans="1:7">
      <c r="A23" s="171" t="s">
        <v>76</v>
      </c>
      <c r="B23" s="37">
        <f>aantalw2001_niet_gespec</f>
        <v>98</v>
      </c>
      <c r="C23" s="166" t="s">
        <v>111</v>
      </c>
      <c r="D23" s="228"/>
      <c r="E23" s="15"/>
    </row>
    <row r="24" spans="1:7">
      <c r="A24" s="171" t="s">
        <v>77</v>
      </c>
      <c r="B24" s="37">
        <f>aantalw2001_steenkool</f>
        <v>226</v>
      </c>
      <c r="C24" s="166" t="s">
        <v>111</v>
      </c>
      <c r="D24" s="229"/>
      <c r="E24" s="15"/>
    </row>
    <row r="25" spans="1:7">
      <c r="A25" s="171" t="s">
        <v>78</v>
      </c>
      <c r="B25" s="37">
        <f>aantalw2001_stookolie</f>
        <v>2985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8130</v>
      </c>
      <c r="C28" s="36"/>
      <c r="D28" s="228"/>
    </row>
    <row r="29" spans="1:7" s="15" customFormat="1">
      <c r="A29" s="230" t="s">
        <v>794</v>
      </c>
      <c r="B29" s="37">
        <f>SUM(HH_hh_gas_aantal,HH_rest_gas_aantal)</f>
        <v>5460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5460</v>
      </c>
      <c r="C32" s="167">
        <f>IF(ISERROR(B32/SUM($B$32,$B$34,$B$35,$B$36,$B$38,$B$39)*100),0,B32/SUM($B$32,$B$34,$B$35,$B$36,$B$38,$B$39)*100)</f>
        <v>67.415730337078656</v>
      </c>
      <c r="D32" s="233"/>
      <c r="G32" s="15"/>
    </row>
    <row r="33" spans="1:7">
      <c r="A33" s="171" t="s">
        <v>72</v>
      </c>
      <c r="B33" s="34" t="s">
        <v>111</v>
      </c>
      <c r="C33" s="167"/>
      <c r="D33" s="233"/>
      <c r="G33" s="15"/>
    </row>
    <row r="34" spans="1:7">
      <c r="A34" s="171" t="s">
        <v>73</v>
      </c>
      <c r="B34" s="33">
        <f>IF((($B$28-$B$32-$B$39-$B$77-$B$38)*C20/100)&lt;0,0,($B$28-$B$32-$B$39-$B$77-$B$38)*C20/100)</f>
        <v>300.09615861214377</v>
      </c>
      <c r="C34" s="167">
        <f>IF(ISERROR(B34/SUM($B$32,$B$34,$B$35,$B$36,$B$38,$B$39)*100),0,B34/SUM($B$32,$B$34,$B$35,$B$36,$B$38,$B$39)*100)</f>
        <v>3.7053482974705982</v>
      </c>
      <c r="D34" s="233"/>
      <c r="G34" s="15"/>
    </row>
    <row r="35" spans="1:7">
      <c r="A35" s="171" t="s">
        <v>74</v>
      </c>
      <c r="B35" s="33">
        <f>IF((($B$28-$B$32-$B$39-$B$77-$B$38)*C21/100)&lt;0,0,($B$28-$B$32-$B$39-$B$77-$B$38)*C21/100)</f>
        <v>1755.0266418835192</v>
      </c>
      <c r="C35" s="167">
        <f>IF(ISERROR(B35/SUM($B$32,$B$34,$B$35,$B$36,$B$38,$B$39)*100),0,B35/SUM($B$32,$B$34,$B$35,$B$36,$B$38,$B$39)*100)</f>
        <v>21.669670846814661</v>
      </c>
      <c r="D35" s="233"/>
      <c r="G35" s="15"/>
    </row>
    <row r="36" spans="1:7">
      <c r="A36" s="171" t="s">
        <v>75</v>
      </c>
      <c r="B36" s="33">
        <f>IF((($B$28-$B$32-$B$39-$B$77-$B$38)*C22/100)&lt;0,0,($B$28-$B$32-$B$39-$B$77-$B$38)*C22/100)</f>
        <v>107.17719950433708</v>
      </c>
      <c r="C36" s="167">
        <f>IF(ISERROR(B36/SUM($B$32,$B$34,$B$35,$B$36,$B$38,$B$39)*100),0,B36/SUM($B$32,$B$34,$B$35,$B$36,$B$38,$B$39)*100)</f>
        <v>1.3233386776680711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476.69999999999982</v>
      </c>
      <c r="C39" s="167">
        <f>IF(ISERROR(B39/SUM($B$32,$B$34,$B$35,$B$36,$B$38,$B$39)*100),0,B39/SUM($B$32,$B$34,$B$35,$B$36,$B$38,$B$39)*100)</f>
        <v>5.8859118409680189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5460</v>
      </c>
      <c r="C44" s="34" t="s">
        <v>111</v>
      </c>
      <c r="D44" s="174"/>
    </row>
    <row r="45" spans="1:7">
      <c r="A45" s="171" t="s">
        <v>72</v>
      </c>
      <c r="B45" s="33" t="str">
        <f t="shared" si="0"/>
        <v>-</v>
      </c>
      <c r="C45" s="34" t="s">
        <v>111</v>
      </c>
      <c r="D45" s="174"/>
    </row>
    <row r="46" spans="1:7">
      <c r="A46" s="171" t="s">
        <v>73</v>
      </c>
      <c r="B46" s="33">
        <f t="shared" si="0"/>
        <v>300.09615861214377</v>
      </c>
      <c r="C46" s="34" t="s">
        <v>111</v>
      </c>
      <c r="D46" s="174"/>
    </row>
    <row r="47" spans="1:7">
      <c r="A47" s="171" t="s">
        <v>74</v>
      </c>
      <c r="B47" s="33">
        <f t="shared" si="0"/>
        <v>1755.0266418835192</v>
      </c>
      <c r="C47" s="34" t="s">
        <v>111</v>
      </c>
      <c r="D47" s="174"/>
    </row>
    <row r="48" spans="1:7">
      <c r="A48" s="171" t="s">
        <v>75</v>
      </c>
      <c r="B48" s="33">
        <f t="shared" si="0"/>
        <v>107.17719950433708</v>
      </c>
      <c r="C48" s="33">
        <f>B48*10</f>
        <v>1071.7719950433709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476.69999999999982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11504.188294348871</v>
      </c>
      <c r="C5" s="17">
        <f>IF(ISERROR('Eigen informatie GS &amp; warmtenet'!B58),0,'Eigen informatie GS &amp; warmtenet'!B58)</f>
        <v>0</v>
      </c>
      <c r="D5" s="30">
        <f>SUM(D6:D12)</f>
        <v>12606.169211743272</v>
      </c>
      <c r="E5" s="17">
        <f>SUM(E6:E12)</f>
        <v>192.56838059270268</v>
      </c>
      <c r="F5" s="17">
        <f>SUM(F6:F12)</f>
        <v>2075.6293229023331</v>
      </c>
      <c r="G5" s="18"/>
      <c r="H5" s="17"/>
      <c r="I5" s="17"/>
      <c r="J5" s="17">
        <f>SUM(J6:J12)</f>
        <v>3.3047666399384112E-2</v>
      </c>
      <c r="K5" s="17"/>
      <c r="L5" s="17"/>
      <c r="M5" s="17"/>
      <c r="N5" s="17">
        <f>SUM(N6:N12)</f>
        <v>1315.1375824746885</v>
      </c>
      <c r="O5" s="17">
        <f>B38*B39*B40</f>
        <v>4.6900000000000004</v>
      </c>
      <c r="P5" s="17">
        <f>B46*B47*B48/1000-B46*B47*B48/1000/B49</f>
        <v>171.6</v>
      </c>
      <c r="R5" s="32"/>
    </row>
    <row r="6" spans="1:18">
      <c r="A6" s="32" t="s">
        <v>54</v>
      </c>
      <c r="B6" s="37">
        <f>B26</f>
        <v>2124.0068063356298</v>
      </c>
      <c r="C6" s="33"/>
      <c r="D6" s="37">
        <f>IF(ISERROR(TER_kantoor_gas_kWh/1000),0,TER_kantoor_gas_kWh/1000)*0.902</f>
        <v>1767.7704454516418</v>
      </c>
      <c r="E6" s="33">
        <f>$C$26*'E Balans VL '!I12/100/3.6*1000000</f>
        <v>1.3312568228515217E-2</v>
      </c>
      <c r="F6" s="33">
        <f>$C$26*('E Balans VL '!L12+'E Balans VL '!N12)/100/3.6*1000000</f>
        <v>319.1788725816042</v>
      </c>
      <c r="G6" s="34"/>
      <c r="H6" s="33"/>
      <c r="I6" s="33"/>
      <c r="J6" s="33">
        <f>$C$26*('E Balans VL '!D12+'E Balans VL '!E12)/100/3.6*1000000</f>
        <v>0</v>
      </c>
      <c r="K6" s="33"/>
      <c r="L6" s="33"/>
      <c r="M6" s="33"/>
      <c r="N6" s="33">
        <f>$C$26*'E Balans VL '!Y12/100/3.6*1000000</f>
        <v>2.0312975916905152</v>
      </c>
      <c r="O6" s="33"/>
      <c r="P6" s="33"/>
      <c r="R6" s="32"/>
    </row>
    <row r="7" spans="1:18">
      <c r="A7" s="32" t="s">
        <v>53</v>
      </c>
      <c r="B7" s="37">
        <f t="shared" ref="B7:B12" si="0">B27</f>
        <v>976.9518663825711</v>
      </c>
      <c r="C7" s="33"/>
      <c r="D7" s="37">
        <f>IF(ISERROR(TER_horeca_gas_kWh/1000),0,TER_horeca_gas_kWh/1000)*0.902</f>
        <v>1374.0388446419713</v>
      </c>
      <c r="E7" s="33">
        <f>$C$27*'E Balans VL '!I9/100/3.6*1000000</f>
        <v>13.989787997482157</v>
      </c>
      <c r="F7" s="33">
        <f>$C$27*('E Balans VL '!L9+'E Balans VL '!N9)/100/3.6*1000000</f>
        <v>123.71432739793303</v>
      </c>
      <c r="G7" s="34"/>
      <c r="H7" s="33"/>
      <c r="I7" s="33"/>
      <c r="J7" s="33">
        <f>$C$27*('E Balans VL '!D9+'E Balans VL '!E9)/100/3.6*1000000</f>
        <v>0</v>
      </c>
      <c r="K7" s="33"/>
      <c r="L7" s="33"/>
      <c r="M7" s="33"/>
      <c r="N7" s="33">
        <f>$C$27*'E Balans VL '!Y9/100/3.6*1000000</f>
        <v>0.2808521216453167</v>
      </c>
      <c r="O7" s="33"/>
      <c r="P7" s="33"/>
      <c r="R7" s="32"/>
    </row>
    <row r="8" spans="1:18">
      <c r="A8" s="6" t="s">
        <v>52</v>
      </c>
      <c r="B8" s="37">
        <f t="shared" si="0"/>
        <v>3950.94253178701</v>
      </c>
      <c r="C8" s="33"/>
      <c r="D8" s="37">
        <f>IF(ISERROR(TER_handel_gas_kWh/1000),0,TER_handel_gas_kWh/1000)*0.902</f>
        <v>1338.8593148848788</v>
      </c>
      <c r="E8" s="33">
        <f>$C$28*'E Balans VL '!I13/100/3.6*1000000</f>
        <v>143.30019841950954</v>
      </c>
      <c r="F8" s="33">
        <f>$C$28*('E Balans VL '!L13+'E Balans VL '!N13)/100/3.6*1000000</f>
        <v>760.99153745880426</v>
      </c>
      <c r="G8" s="34"/>
      <c r="H8" s="33"/>
      <c r="I8" s="33"/>
      <c r="J8" s="33">
        <f>$C$28*('E Balans VL '!D13+'E Balans VL '!E13)/100/3.6*1000000</f>
        <v>0</v>
      </c>
      <c r="K8" s="33"/>
      <c r="L8" s="33"/>
      <c r="M8" s="33"/>
      <c r="N8" s="33">
        <f>$C$28*'E Balans VL '!Y13/100/3.6*1000000</f>
        <v>5.4729644778582074</v>
      </c>
      <c r="O8" s="33"/>
      <c r="P8" s="33"/>
      <c r="R8" s="32"/>
    </row>
    <row r="9" spans="1:18">
      <c r="A9" s="32" t="s">
        <v>51</v>
      </c>
      <c r="B9" s="37">
        <f t="shared" si="0"/>
        <v>559.36183431052098</v>
      </c>
      <c r="C9" s="33"/>
      <c r="D9" s="37">
        <f>IF(ISERROR(TER_gezond_gas_kWh/1000),0,TER_gezond_gas_kWh/1000)*0.902</f>
        <v>681.62304618734038</v>
      </c>
      <c r="E9" s="33">
        <f>$C$29*'E Balans VL '!I10/100/3.6*1000000</f>
        <v>3.502157352821892E-2</v>
      </c>
      <c r="F9" s="33">
        <f>$C$29*('E Balans VL '!L10+'E Balans VL '!N10)/100/3.6*1000000</f>
        <v>83.094903581419231</v>
      </c>
      <c r="G9" s="34"/>
      <c r="H9" s="33"/>
      <c r="I9" s="33"/>
      <c r="J9" s="33">
        <f>$C$29*('E Balans VL '!D10+'E Balans VL '!E10)/100/3.6*1000000</f>
        <v>0</v>
      </c>
      <c r="K9" s="33"/>
      <c r="L9" s="33"/>
      <c r="M9" s="33"/>
      <c r="N9" s="33">
        <f>$C$29*'E Balans VL '!Y10/100/3.6*1000000</f>
        <v>8.6522628269184612</v>
      </c>
      <c r="O9" s="33"/>
      <c r="P9" s="33"/>
      <c r="R9" s="32"/>
    </row>
    <row r="10" spans="1:18">
      <c r="A10" s="32" t="s">
        <v>50</v>
      </c>
      <c r="B10" s="37">
        <f t="shared" si="0"/>
        <v>1288.40711580111</v>
      </c>
      <c r="C10" s="33"/>
      <c r="D10" s="37">
        <f>IF(ISERROR(TER_ander_gas_kWh/1000),0,TER_ander_gas_kWh/1000)*0.902</f>
        <v>2267.627091959288</v>
      </c>
      <c r="E10" s="33">
        <f>$C$30*'E Balans VL '!I14/100/3.6*1000000</f>
        <v>1.5357352421439787</v>
      </c>
      <c r="F10" s="33">
        <f>$C$30*('E Balans VL '!L14+'E Balans VL '!N14)/100/3.6*1000000</f>
        <v>337.10457957513836</v>
      </c>
      <c r="G10" s="34"/>
      <c r="H10" s="33"/>
      <c r="I10" s="33"/>
      <c r="J10" s="33">
        <f>$C$30*('E Balans VL '!D14+'E Balans VL '!E14)/100/3.6*1000000</f>
        <v>2.796626806760005E-2</v>
      </c>
      <c r="K10" s="33"/>
      <c r="L10" s="33"/>
      <c r="M10" s="33"/>
      <c r="N10" s="33">
        <f>$C$30*'E Balans VL '!Y14/100/3.6*1000000</f>
        <v>1094.0837958599514</v>
      </c>
      <c r="O10" s="33"/>
      <c r="P10" s="33"/>
      <c r="R10" s="32"/>
    </row>
    <row r="11" spans="1:18">
      <c r="A11" s="32" t="s">
        <v>55</v>
      </c>
      <c r="B11" s="37">
        <f t="shared" si="0"/>
        <v>506.08932505218996</v>
      </c>
      <c r="C11" s="33"/>
      <c r="D11" s="37">
        <f>IF(ISERROR(TER_onderwijs_gas_kWh/1000),0,TER_onderwijs_gas_kWh/1000)*0.902</f>
        <v>399.10939817342916</v>
      </c>
      <c r="E11" s="33">
        <f>$C$31*'E Balans VL '!I11/100/3.6*1000000</f>
        <v>7.6360727806686723</v>
      </c>
      <c r="F11" s="33">
        <f>$C$31*('E Balans VL '!L11+'E Balans VL '!N11)/100/3.6*1000000</f>
        <v>88.674934766637961</v>
      </c>
      <c r="G11" s="34"/>
      <c r="H11" s="33"/>
      <c r="I11" s="33"/>
      <c r="J11" s="33">
        <f>$C$31*('E Balans VL '!D11+'E Balans VL '!E11)/100/3.6*1000000</f>
        <v>0</v>
      </c>
      <c r="K11" s="33"/>
      <c r="L11" s="33"/>
      <c r="M11" s="33"/>
      <c r="N11" s="33">
        <f>$C$31*'E Balans VL '!Y11/100/3.6*1000000</f>
        <v>1.4241738350725293</v>
      </c>
      <c r="O11" s="33"/>
      <c r="P11" s="33"/>
      <c r="R11" s="32"/>
    </row>
    <row r="12" spans="1:18">
      <c r="A12" s="32" t="s">
        <v>260</v>
      </c>
      <c r="B12" s="37">
        <f t="shared" si="0"/>
        <v>2098.4288146798399</v>
      </c>
      <c r="C12" s="33"/>
      <c r="D12" s="37">
        <f>IF(ISERROR(TER_rest_gas_kWh/1000),0,TER_rest_gas_kWh/1000)*0.902</f>
        <v>4777.1410704447235</v>
      </c>
      <c r="E12" s="33">
        <f>$C$32*'E Balans VL '!I8/100/3.6*1000000</f>
        <v>26.058252011141604</v>
      </c>
      <c r="F12" s="33">
        <f>$C$32*('E Balans VL '!L8+'E Balans VL '!N8)/100/3.6*1000000</f>
        <v>362.87016754079593</v>
      </c>
      <c r="G12" s="34"/>
      <c r="H12" s="33"/>
      <c r="I12" s="33"/>
      <c r="J12" s="33">
        <f>$C$32*('E Balans VL '!D8+'E Balans VL '!E8)/100/3.6*1000000</f>
        <v>5.0813983317840655E-3</v>
      </c>
      <c r="K12" s="33"/>
      <c r="L12" s="33"/>
      <c r="M12" s="33"/>
      <c r="N12" s="33">
        <f>$C$32*'E Balans VL '!Y8/100/3.6*1000000</f>
        <v>203.19223576155218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11504.188294348871</v>
      </c>
      <c r="C16" s="21">
        <f t="shared" ca="1" si="1"/>
        <v>0</v>
      </c>
      <c r="D16" s="21">
        <f t="shared" ca="1" si="1"/>
        <v>12606.169211743272</v>
      </c>
      <c r="E16" s="21">
        <f t="shared" si="1"/>
        <v>192.56838059270268</v>
      </c>
      <c r="F16" s="21">
        <f t="shared" ca="1" si="1"/>
        <v>2075.6293229023331</v>
      </c>
      <c r="G16" s="21">
        <f t="shared" si="1"/>
        <v>0</v>
      </c>
      <c r="H16" s="21">
        <f t="shared" si="1"/>
        <v>0</v>
      </c>
      <c r="I16" s="21">
        <f t="shared" si="1"/>
        <v>0</v>
      </c>
      <c r="J16" s="21">
        <f t="shared" si="1"/>
        <v>3.3047666399384112E-2</v>
      </c>
      <c r="K16" s="21">
        <f t="shared" si="1"/>
        <v>0</v>
      </c>
      <c r="L16" s="21">
        <f t="shared" ca="1" si="1"/>
        <v>0</v>
      </c>
      <c r="M16" s="21">
        <f t="shared" si="1"/>
        <v>0</v>
      </c>
      <c r="N16" s="21">
        <f t="shared" ca="1" si="1"/>
        <v>1315.1375824746885</v>
      </c>
      <c r="O16" s="21">
        <f>O5</f>
        <v>4.6900000000000004</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0.20705733896333206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2382.0266151609912</v>
      </c>
      <c r="C20" s="23">
        <f t="shared" ref="C20:P20" ca="1" si="2">C16*C18</f>
        <v>0</v>
      </c>
      <c r="D20" s="23">
        <f t="shared" ca="1" si="2"/>
        <v>2546.4461807721414</v>
      </c>
      <c r="E20" s="23">
        <f t="shared" si="2"/>
        <v>43.713022394543508</v>
      </c>
      <c r="F20" s="23">
        <f t="shared" ca="1" si="2"/>
        <v>554.19302921492294</v>
      </c>
      <c r="G20" s="23">
        <f t="shared" si="2"/>
        <v>0</v>
      </c>
      <c r="H20" s="23">
        <f t="shared" si="2"/>
        <v>0</v>
      </c>
      <c r="I20" s="23">
        <f t="shared" si="2"/>
        <v>0</v>
      </c>
      <c r="J20" s="23">
        <f t="shared" si="2"/>
        <v>1.1698873905381975E-2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2124.0068063356298</v>
      </c>
      <c r="C26" s="39">
        <f>IF(ISERROR(B26*3.6/1000000/'E Balans VL '!Z12*100),0,B26*3.6/1000000/'E Balans VL '!Z12*100)</f>
        <v>4.489813918737022E-2</v>
      </c>
      <c r="D26" s="237" t="s">
        <v>754</v>
      </c>
      <c r="F26" s="6"/>
    </row>
    <row r="27" spans="1:18">
      <c r="A27" s="231" t="s">
        <v>53</v>
      </c>
      <c r="B27" s="33">
        <f>IF(ISERROR(TER_horeca_ele_kWh/1000),0,TER_horeca_ele_kWh/1000)</f>
        <v>976.9518663825711</v>
      </c>
      <c r="C27" s="39">
        <f>IF(ISERROR(B27*3.6/1000000/'E Balans VL '!Z9*100),0,B27*3.6/1000000/'E Balans VL '!Z9*100)</f>
        <v>7.7012751498388043E-2</v>
      </c>
      <c r="D27" s="237" t="s">
        <v>754</v>
      </c>
      <c r="F27" s="6"/>
    </row>
    <row r="28" spans="1:18">
      <c r="A28" s="171" t="s">
        <v>52</v>
      </c>
      <c r="B28" s="33">
        <f>IF(ISERROR(TER_handel_ele_kWh/1000),0,TER_handel_ele_kWh/1000)</f>
        <v>3950.94253178701</v>
      </c>
      <c r="C28" s="39">
        <f>IF(ISERROR(B28*3.6/1000000/'E Balans VL '!Z13*100),0,B28*3.6/1000000/'E Balans VL '!Z13*100)</f>
        <v>0.11467231586910591</v>
      </c>
      <c r="D28" s="237" t="s">
        <v>754</v>
      </c>
      <c r="F28" s="6"/>
    </row>
    <row r="29" spans="1:18">
      <c r="A29" s="231" t="s">
        <v>51</v>
      </c>
      <c r="B29" s="33">
        <f>IF(ISERROR(TER_gezond_ele_kWh/1000),0,TER_gezond_ele_kWh/1000)</f>
        <v>559.36183431052098</v>
      </c>
      <c r="C29" s="39">
        <f>IF(ISERROR(B29*3.6/1000000/'E Balans VL '!Z10*100),0,B29*3.6/1000000/'E Balans VL '!Z10*100)</f>
        <v>5.890998611666478E-2</v>
      </c>
      <c r="D29" s="237" t="s">
        <v>754</v>
      </c>
      <c r="F29" s="6"/>
    </row>
    <row r="30" spans="1:18">
      <c r="A30" s="231" t="s">
        <v>50</v>
      </c>
      <c r="B30" s="33">
        <f>IF(ISERROR(TER_ander_ele_kWh/1000),0,TER_ander_ele_kWh/1000)</f>
        <v>1288.40711580111</v>
      </c>
      <c r="C30" s="39">
        <f>IF(ISERROR(B30*3.6/1000000/'E Balans VL '!Z14*100),0,B30*3.6/1000000/'E Balans VL '!Z14*100)</f>
        <v>9.5033188702123392E-2</v>
      </c>
      <c r="D30" s="237" t="s">
        <v>754</v>
      </c>
      <c r="F30" s="6"/>
    </row>
    <row r="31" spans="1:18">
      <c r="A31" s="231" t="s">
        <v>55</v>
      </c>
      <c r="B31" s="33">
        <f>IF(ISERROR(TER_onderwijs_ele_kWh/1000),0,TER_onderwijs_ele_kWh/1000)</f>
        <v>506.08932505218996</v>
      </c>
      <c r="C31" s="39">
        <f>IF(ISERROR(B31*3.6/1000000/'E Balans VL '!Z11*100),0,B31*3.6/1000000/'E Balans VL '!Z11*100)</f>
        <v>0.12568568603057589</v>
      </c>
      <c r="D31" s="237" t="s">
        <v>754</v>
      </c>
    </row>
    <row r="32" spans="1:18">
      <c r="A32" s="231" t="s">
        <v>260</v>
      </c>
      <c r="B32" s="33">
        <f>IF(ISERROR(TER_rest_ele_kWh/1000),0,TER_rest_ele_kWh/1000)</f>
        <v>2098.4288146798399</v>
      </c>
      <c r="C32" s="39">
        <f>IF(ISERROR(B32*3.6/1000000/'E Balans VL '!Z8*100),0,B32*3.6/1000000/'E Balans VL '!Z8*100)</f>
        <v>1.7267283763704934E-2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9</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20262.145778899732</v>
      </c>
      <c r="C5" s="17">
        <f>IF(ISERROR('Eigen informatie GS &amp; warmtenet'!B59),0,'Eigen informatie GS &amp; warmtenet'!B59)</f>
        <v>0</v>
      </c>
      <c r="D5" s="30">
        <f>SUM(D6:D15)</f>
        <v>119002.32548426773</v>
      </c>
      <c r="E5" s="17">
        <f>SUM(E6:E15)</f>
        <v>1557.8985999725951</v>
      </c>
      <c r="F5" s="17">
        <f>SUM(F6:F15)</f>
        <v>5176.2040705560667</v>
      </c>
      <c r="G5" s="18"/>
      <c r="H5" s="17"/>
      <c r="I5" s="17"/>
      <c r="J5" s="17">
        <f>SUM(J6:J15)</f>
        <v>64.125133806473059</v>
      </c>
      <c r="K5" s="17"/>
      <c r="L5" s="17"/>
      <c r="M5" s="17"/>
      <c r="N5" s="17">
        <f>SUM(N6:N15)</f>
        <v>4701.0433094255504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27.775934295692</v>
      </c>
      <c r="C8" s="33"/>
      <c r="D8" s="37">
        <f>IF( ISERROR(IND_metaal_Gas_kWH/1000),0,IND_metaal_Gas_kWH/1000)*0.902</f>
        <v>0</v>
      </c>
      <c r="E8" s="33">
        <f>C30*'E Balans VL '!I18/100/3.6*1000000</f>
        <v>0.25537288959642673</v>
      </c>
      <c r="F8" s="33">
        <f>C30*'E Balans VL '!L18/100/3.6*1000000+C30*'E Balans VL '!N18/100/3.6*1000000</f>
        <v>2.6044578824753204</v>
      </c>
      <c r="G8" s="34"/>
      <c r="H8" s="33"/>
      <c r="I8" s="33"/>
      <c r="J8" s="40">
        <f>C30*'E Balans VL '!D18/100/3.6*1000000+C30*'E Balans VL '!E18/100/3.6*1000000</f>
        <v>0</v>
      </c>
      <c r="K8" s="33"/>
      <c r="L8" s="33"/>
      <c r="M8" s="33"/>
      <c r="N8" s="33">
        <f>C30*'E Balans VL '!Y18/100/3.6*1000000</f>
        <v>0.39626960439243725</v>
      </c>
      <c r="O8" s="33"/>
      <c r="P8" s="33"/>
      <c r="R8" s="32"/>
    </row>
    <row r="9" spans="1:18">
      <c r="A9" s="6" t="s">
        <v>33</v>
      </c>
      <c r="B9" s="37">
        <f t="shared" si="0"/>
        <v>1940.7577007486302</v>
      </c>
      <c r="C9" s="33"/>
      <c r="D9" s="37">
        <f>IF( ISERROR(IND_andere_gas_kWh/1000),0,IND_andere_gas_kWh/1000)*0.902</f>
        <v>797.57005349150859</v>
      </c>
      <c r="E9" s="33">
        <f>C31*'E Balans VL '!I19/100/3.6*1000000</f>
        <v>567.32125802488576</v>
      </c>
      <c r="F9" s="33">
        <f>C31*'E Balans VL '!L19/100/3.6*1000000+C31*'E Balans VL '!N19/100/3.6*1000000</f>
        <v>1559.5457144112586</v>
      </c>
      <c r="G9" s="34"/>
      <c r="H9" s="33"/>
      <c r="I9" s="33"/>
      <c r="J9" s="40">
        <f>C31*'E Balans VL '!D19/100/3.6*1000000+C31*'E Balans VL '!E19/100/3.6*1000000</f>
        <v>0</v>
      </c>
      <c r="K9" s="33"/>
      <c r="L9" s="33"/>
      <c r="M9" s="33"/>
      <c r="N9" s="33">
        <f>C31*'E Balans VL '!Y19/100/3.6*1000000</f>
        <v>641.25644334526385</v>
      </c>
      <c r="O9" s="33"/>
      <c r="P9" s="33"/>
      <c r="R9" s="32"/>
    </row>
    <row r="10" spans="1:18">
      <c r="A10" s="6" t="s">
        <v>41</v>
      </c>
      <c r="B10" s="37">
        <f t="shared" si="0"/>
        <v>277.62880068202003</v>
      </c>
      <c r="C10" s="33"/>
      <c r="D10" s="37">
        <f>IF( ISERROR(IND_voed_gas_kWh/1000),0,IND_voed_gas_kWh/1000)*0.902</f>
        <v>335.01952218019727</v>
      </c>
      <c r="E10" s="33">
        <f>C32*'E Balans VL '!I20/100/3.6*1000000</f>
        <v>0.58732803252835208</v>
      </c>
      <c r="F10" s="33">
        <f>C32*'E Balans VL '!L20/100/3.6*1000000+C32*'E Balans VL '!N20/100/3.6*1000000</f>
        <v>17.651922736866595</v>
      </c>
      <c r="G10" s="34"/>
      <c r="H10" s="33"/>
      <c r="I10" s="33"/>
      <c r="J10" s="40">
        <f>C32*'E Balans VL '!D20/100/3.6*1000000+C32*'E Balans VL '!E20/100/3.6*1000000</f>
        <v>0</v>
      </c>
      <c r="K10" s="33"/>
      <c r="L10" s="33"/>
      <c r="M10" s="33"/>
      <c r="N10" s="33">
        <f>C32*'E Balans VL '!Y20/100/3.6*1000000</f>
        <v>19.15912695500813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191.94913262578802</v>
      </c>
      <c r="C12" s="33"/>
      <c r="D12" s="37">
        <f>IF( ISERROR(IND_min_gas_kWh/1000),0,IND_min_gas_kWh/1000)*0.902</f>
        <v>0</v>
      </c>
      <c r="E12" s="33">
        <f>C34*'E Balans VL '!I22/100/3.6*1000000</f>
        <v>5.5638149727631996</v>
      </c>
      <c r="F12" s="33">
        <f>C34*'E Balans VL '!L22/100/3.6*1000000+C34*'E Balans VL '!N22/100/3.6*1000000</f>
        <v>65.994280870286957</v>
      </c>
      <c r="G12" s="34"/>
      <c r="H12" s="33"/>
      <c r="I12" s="33"/>
      <c r="J12" s="40">
        <f>C34*'E Balans VL '!D22/100/3.6*1000000+C34*'E Balans VL '!E22/100/3.6*1000000</f>
        <v>0.31543026791248208</v>
      </c>
      <c r="K12" s="33"/>
      <c r="L12" s="33"/>
      <c r="M12" s="33"/>
      <c r="N12" s="33">
        <f>C34*'E Balans VL '!Y22/100/3.6*1000000</f>
        <v>42.020819487793268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17824.034210547601</v>
      </c>
      <c r="C15" s="33"/>
      <c r="D15" s="37">
        <f>IF( ISERROR(IND_rest_gas_kWh/1000),0,IND_rest_gas_kWh/1000)*0.902</f>
        <v>117869.73590859602</v>
      </c>
      <c r="E15" s="33">
        <f>C37*'E Balans VL '!I15/100/3.6*1000000</f>
        <v>984.17082605282133</v>
      </c>
      <c r="F15" s="33">
        <f>C37*'E Balans VL '!L15/100/3.6*1000000+C37*'E Balans VL '!N15/100/3.6*1000000</f>
        <v>3530.4076946551795</v>
      </c>
      <c r="G15" s="34"/>
      <c r="H15" s="33"/>
      <c r="I15" s="33"/>
      <c r="J15" s="40">
        <f>C37*'E Balans VL '!D15/100/3.6*1000000+C37*'E Balans VL '!E15/100/3.6*1000000</f>
        <v>63.809703538560584</v>
      </c>
      <c r="K15" s="33"/>
      <c r="L15" s="33"/>
      <c r="M15" s="33"/>
      <c r="N15" s="33">
        <f>C37*'E Balans VL '!Y15/100/3.6*1000000</f>
        <v>3998.2106500330929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20262.145778899732</v>
      </c>
      <c r="C18" s="21">
        <f>C5+C16</f>
        <v>0</v>
      </c>
      <c r="D18" s="21">
        <f>MAX((D5+D16),0)</f>
        <v>119002.32548426773</v>
      </c>
      <c r="E18" s="21">
        <f>MAX((E5+E16),0)</f>
        <v>1557.8985999725951</v>
      </c>
      <c r="F18" s="21">
        <f>MAX((F5+F16),0)</f>
        <v>5176.2040705560667</v>
      </c>
      <c r="G18" s="21"/>
      <c r="H18" s="21"/>
      <c r="I18" s="21"/>
      <c r="J18" s="21">
        <f>MAX((J5+J16),0)</f>
        <v>64.125133806473059</v>
      </c>
      <c r="K18" s="21"/>
      <c r="L18" s="21">
        <f>MAX((L5+L16),0)</f>
        <v>0</v>
      </c>
      <c r="M18" s="21"/>
      <c r="N18" s="21">
        <f>MAX((N5+N16),0)</f>
        <v>4701.0433094255504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0.20705733896333206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4195.4259866660896</v>
      </c>
      <c r="C22" s="23">
        <f ca="1">C18*C20</f>
        <v>0</v>
      </c>
      <c r="D22" s="23">
        <f>D18*D20</f>
        <v>24038.469747822084</v>
      </c>
      <c r="E22" s="23">
        <f>E18*E20</f>
        <v>353.64298219377912</v>
      </c>
      <c r="F22" s="23">
        <f>F18*F20</f>
        <v>1382.0464868384699</v>
      </c>
      <c r="G22" s="23"/>
      <c r="H22" s="23"/>
      <c r="I22" s="23"/>
      <c r="J22" s="23">
        <f>J18*J20</f>
        <v>22.700297367491462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27.775934295692</v>
      </c>
      <c r="C30" s="39">
        <f>IF(ISERROR(B30*3.6/1000000/'E Balans VL '!Z18*100),0,B30*3.6/1000000/'E Balans VL '!Z18*100)</f>
        <v>1.5741334186906734E-3</v>
      </c>
      <c r="D30" s="237" t="s">
        <v>754</v>
      </c>
    </row>
    <row r="31" spans="1:18">
      <c r="A31" s="6" t="s">
        <v>33</v>
      </c>
      <c r="B31" s="37">
        <f>IF( ISERROR(IND_ander_ele_kWh/1000),0,IND_ander_ele_kWh/1000)</f>
        <v>1940.7577007486302</v>
      </c>
      <c r="C31" s="39">
        <f>IF(ISERROR(B31*3.6/1000000/'E Balans VL '!Z19*100),0,B31*3.6/1000000/'E Balans VL '!Z19*100)</f>
        <v>8.8024688131542322E-2</v>
      </c>
      <c r="D31" s="237" t="s">
        <v>754</v>
      </c>
    </row>
    <row r="32" spans="1:18">
      <c r="A32" s="171" t="s">
        <v>41</v>
      </c>
      <c r="B32" s="37">
        <f>IF( ISERROR(IND_voed_ele_kWh/1000),0,IND_voed_ele_kWh/1000)</f>
        <v>277.62880068202003</v>
      </c>
      <c r="C32" s="39">
        <f>IF(ISERROR(B32*3.6/1000000/'E Balans VL '!Z20*100),0,B32*3.6/1000000/'E Balans VL '!Z20*100)</f>
        <v>8.5883191334335304E-3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191.94913262578802</v>
      </c>
      <c r="C34" s="39">
        <f>IF(ISERROR(B34*3.6/1000000/'E Balans VL '!Z22*100),0,B34*3.6/1000000/'E Balans VL '!Z22*100)</f>
        <v>3.4525660215413201E-2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17824.034210547601</v>
      </c>
      <c r="C37" s="39">
        <f>IF(ISERROR(B37*3.6/1000000/'E Balans VL '!Z15*100),0,B37*3.6/1000000/'E Balans VL '!Z15*100)</f>
        <v>0.14127736111444425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59.154347547702301</v>
      </c>
      <c r="C5" s="17">
        <f>'Eigen informatie GS &amp; warmtenet'!B60</f>
        <v>0</v>
      </c>
      <c r="D5" s="30">
        <f>IF(ISERROR(SUM(LB_lb_gas_kWh,LB_rest_gas_kWh)/1000),0,SUM(LB_lb_gas_kWh,LB_rest_gas_kWh)/1000)*0.902</f>
        <v>67.609575318136422</v>
      </c>
      <c r="E5" s="17">
        <f>B17*'E Balans VL '!I25/3.6*1000000/100</f>
        <v>1.7387269526585334</v>
      </c>
      <c r="F5" s="17">
        <f>B17*('E Balans VL '!L25/3.6*1000000+'E Balans VL '!N25/3.6*1000000)/100</f>
        <v>246.43381535056488</v>
      </c>
      <c r="G5" s="18"/>
      <c r="H5" s="17"/>
      <c r="I5" s="17"/>
      <c r="J5" s="17">
        <f>('E Balans VL '!D25+'E Balans VL '!E25)/3.6*1000000*landbouw!B17/100</f>
        <v>8.5701946055068756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59.154347547702301</v>
      </c>
      <c r="C8" s="21">
        <f>C5+C6</f>
        <v>0</v>
      </c>
      <c r="D8" s="21">
        <f>MAX((D5+D6),0)</f>
        <v>67.609575318136422</v>
      </c>
      <c r="E8" s="21">
        <f>MAX((E5+E6),0)</f>
        <v>1.7387269526585334</v>
      </c>
      <c r="F8" s="21">
        <f>MAX((F5+F6),0)</f>
        <v>246.43381535056488</v>
      </c>
      <c r="G8" s="21"/>
      <c r="H8" s="21"/>
      <c r="I8" s="21"/>
      <c r="J8" s="21">
        <f>MAX((J5+J6),0)</f>
        <v>8.5701946055068756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0.20705733896333206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12.248341791339346</v>
      </c>
      <c r="C12" s="23">
        <f ca="1">C8*C10</f>
        <v>0</v>
      </c>
      <c r="D12" s="23">
        <f>D8*D10</f>
        <v>13.657134214263557</v>
      </c>
      <c r="E12" s="23">
        <f>E8*E10</f>
        <v>0.39469101825348707</v>
      </c>
      <c r="F12" s="23">
        <f>F8*F10</f>
        <v>65.797828698600824</v>
      </c>
      <c r="G12" s="23"/>
      <c r="H12" s="23"/>
      <c r="I12" s="23"/>
      <c r="J12" s="23">
        <f>J8*J10</f>
        <v>3.0338488903494336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8.3941875081244358E-3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33.180469451629207</v>
      </c>
      <c r="C26" s="247">
        <f>B26*'GWP N2O_CH4'!B5</f>
        <v>696.78985848421337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4.2703888601603177</v>
      </c>
      <c r="C27" s="247">
        <f>B27*'GWP N2O_CH4'!B5</f>
        <v>89.678166063366675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0.36550274075870776</v>
      </c>
      <c r="C28" s="247">
        <f>B28*'GWP N2O_CH4'!B4</f>
        <v>113.30584963519941</v>
      </c>
      <c r="D28" s="50"/>
    </row>
    <row r="29" spans="1:4">
      <c r="A29" s="41" t="s">
        <v>277</v>
      </c>
      <c r="B29" s="247">
        <f>B34*'ha_N2O bodem landbouw'!B4</f>
        <v>2.4985914950589425</v>
      </c>
      <c r="C29" s="247">
        <f>B29*'GWP N2O_CH4'!B4</f>
        <v>774.5633634682722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5.7016996864310142E-4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8.6242137172465964E-5</v>
      </c>
      <c r="C5" s="463" t="s">
        <v>211</v>
      </c>
      <c r="D5" s="448">
        <f>SUM(D6:D11)</f>
        <v>3.5314152697347621E-4</v>
      </c>
      <c r="E5" s="448">
        <f>SUM(E6:E11)</f>
        <v>4.7037922023574212E-4</v>
      </c>
      <c r="F5" s="461" t="s">
        <v>211</v>
      </c>
      <c r="G5" s="448">
        <f>SUM(G6:G11)</f>
        <v>0.14323383127112616</v>
      </c>
      <c r="H5" s="448">
        <f>SUM(H6:H11)</f>
        <v>3.9624034119962369E-2</v>
      </c>
      <c r="I5" s="463" t="s">
        <v>211</v>
      </c>
      <c r="J5" s="463" t="s">
        <v>211</v>
      </c>
      <c r="K5" s="463" t="s">
        <v>211</v>
      </c>
      <c r="L5" s="463" t="s">
        <v>211</v>
      </c>
      <c r="M5" s="448">
        <f>SUM(M6:M11)</f>
        <v>9.5373311607127847E-3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3.7315441218274296E-5</v>
      </c>
      <c r="C6" s="449"/>
      <c r="D6" s="892">
        <f>vkm_2011_GW_PW*SUMIFS(TableVerdeelsleutelVkm[CNG],TableVerdeelsleutelVkm[Voertuigtype],"Lichte voertuigen")*SUMIFS(TableECFTransport[EnergieConsumptieFactor (PJ per km)],TableECFTransport[Index],CONCATENATE($A6,"_CNG_CNG"))</f>
        <v>1.1192490653968552E-4</v>
      </c>
      <c r="E6" s="892">
        <f>vkm_2011_GW_PW*SUMIFS(TableVerdeelsleutelVkm[LPG],TableVerdeelsleutelVkm[Voertuigtype],"Lichte voertuigen")*SUMIFS(TableECFTransport[EnergieConsumptieFactor (PJ per km)],TableECFTransport[Index],CONCATENATE($A6,"_LPG_LPG"))</f>
        <v>1.5290549955371315E-4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3.9534352887547378E-2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1.2730170250944538E-2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2.6853128479891221E-3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1.4143605940635653E-2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4.3106836911727061E-6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8.2650461335284035E-4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3.9949138710801092E-5</v>
      </c>
      <c r="C8" s="449"/>
      <c r="D8" s="451">
        <f>vkm_2011_NGW_PW*SUMIFS(TableVerdeelsleutelVkm[CNG],TableVerdeelsleutelVkm[Voertuigtype],"Lichte voertuigen")*SUMIFS(TableECFTransport[EnergieConsumptieFactor (PJ per km)],TableECFTransport[Index],CONCATENATE($A8,"_CNG_CNG"))</f>
        <v>2.1304928093623092E-4</v>
      </c>
      <c r="E8" s="451">
        <f>vkm_2011_NGW_PW*SUMIFS(TableVerdeelsleutelVkm[LPG],TableVerdeelsleutelVkm[Voertuigtype],"Lichte voertuigen")*SUMIFS(TableECFTransport[EnergieConsumptieFactor (PJ per km)],TableECFTransport[Index],CONCATENATE($A8,"_LPG_LPG"))</f>
        <v>2.695508098719183E-4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6.4946952015264195E-2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2.3548103451740732E-2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4.4891329165562656E-3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6.8542056230365602E-3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1.9666342090694616E-6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4.0053304258744606E-4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8.9775572433905731E-6</v>
      </c>
      <c r="C10" s="449"/>
      <c r="D10" s="451">
        <f>vkm_2011_SW_PW*SUMIFS(TableVerdeelsleutelVkm[CNG],TableVerdeelsleutelVkm[Voertuigtype],"Lichte voertuigen")*SUMIFS(TableECFTransport[EnergieConsumptieFactor (PJ per km)],TableECFTransport[Index],CONCATENATE($A10,"_CNG_CNG"))</f>
        <v>2.8167339497559771E-5</v>
      </c>
      <c r="E10" s="451">
        <f>vkm_2011_SW_PW*SUMIFS(TableVerdeelsleutelVkm[LPG],TableVerdeelsleutelVkm[Voertuigtype],"Lichte voertuigen")*SUMIFS(TableECFTransport[EnergieConsumptieFactor (PJ per km)],TableECFTransport[Index],CONCATENATE($A10,"_LPG_LPG"))</f>
        <v>4.7922910810110661E-5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1.1046339520553908E-2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3.3372751816526901E-3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7.4382810444881828E-4</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6.7083752840884567E-3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2.2079177241696675E-6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3.9201963577829342E-4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23.95614921457388</v>
      </c>
      <c r="C14" s="21"/>
      <c r="D14" s="21">
        <f t="shared" ref="D14:M14" si="0">((D5)*10^9/3600)+D12</f>
        <v>98.094868603743393</v>
      </c>
      <c r="E14" s="21">
        <f t="shared" si="0"/>
        <v>130.66089450992837</v>
      </c>
      <c r="F14" s="21"/>
      <c r="G14" s="21">
        <f t="shared" si="0"/>
        <v>39787.175353090599</v>
      </c>
      <c r="H14" s="21">
        <f t="shared" si="0"/>
        <v>11006.676144433992</v>
      </c>
      <c r="I14" s="21"/>
      <c r="J14" s="21"/>
      <c r="K14" s="21"/>
      <c r="L14" s="21"/>
      <c r="M14" s="21">
        <f t="shared" si="0"/>
        <v>2649.258655753551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0.20705733896333206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4.9602965081781853</v>
      </c>
      <c r="C18" s="23"/>
      <c r="D18" s="23">
        <f t="shared" ref="D18:M18" si="1">D14*D16</f>
        <v>19.815163457956167</v>
      </c>
      <c r="E18" s="23">
        <f t="shared" si="1"/>
        <v>29.66002305375374</v>
      </c>
      <c r="F18" s="23"/>
      <c r="G18" s="23">
        <f t="shared" si="1"/>
        <v>10623.175819275191</v>
      </c>
      <c r="H18" s="23">
        <f t="shared" si="1"/>
        <v>2740.6623599640639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3.1303804491910892E-3</v>
      </c>
      <c r="H50" s="321">
        <f t="shared" si="2"/>
        <v>0</v>
      </c>
      <c r="I50" s="321">
        <f t="shared" si="2"/>
        <v>0</v>
      </c>
      <c r="J50" s="321">
        <f t="shared" si="2"/>
        <v>0</v>
      </c>
      <c r="K50" s="321">
        <f t="shared" si="2"/>
        <v>0</v>
      </c>
      <c r="L50" s="321">
        <f t="shared" si="2"/>
        <v>0</v>
      </c>
      <c r="M50" s="321">
        <f t="shared" si="2"/>
        <v>1.7779179021044816E-4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3.1303804491910892E-3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1.7779179021044816E-4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869.55012477530261</v>
      </c>
      <c r="H54" s="21">
        <f t="shared" si="3"/>
        <v>0</v>
      </c>
      <c r="I54" s="21">
        <f t="shared" si="3"/>
        <v>0</v>
      </c>
      <c r="J54" s="21">
        <f t="shared" si="3"/>
        <v>0</v>
      </c>
      <c r="K54" s="21">
        <f t="shared" si="3"/>
        <v>0</v>
      </c>
      <c r="L54" s="21">
        <f t="shared" si="3"/>
        <v>0</v>
      </c>
      <c r="M54" s="21">
        <f t="shared" si="3"/>
        <v>49.38660839179115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0.20705733896333206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232.16988331500582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12762.286294348871</v>
      </c>
      <c r="D10" s="1013">
        <f ca="1">tertiair!C16</f>
        <v>0</v>
      </c>
      <c r="E10" s="1013">
        <f ca="1">tertiair!D16</f>
        <v>12606.169211743272</v>
      </c>
      <c r="F10" s="1013">
        <f>tertiair!E16</f>
        <v>192.56838059270268</v>
      </c>
      <c r="G10" s="1013">
        <f ca="1">tertiair!F16</f>
        <v>2075.6293229023331</v>
      </c>
      <c r="H10" s="1013">
        <f>tertiair!G16</f>
        <v>0</v>
      </c>
      <c r="I10" s="1013">
        <f>tertiair!H16</f>
        <v>0</v>
      </c>
      <c r="J10" s="1013">
        <f>tertiair!I16</f>
        <v>0</v>
      </c>
      <c r="K10" s="1013">
        <f>tertiair!J16</f>
        <v>3.3047666399384112E-2</v>
      </c>
      <c r="L10" s="1013">
        <f>tertiair!K16</f>
        <v>0</v>
      </c>
      <c r="M10" s="1013">
        <f ca="1">tertiair!L16</f>
        <v>0</v>
      </c>
      <c r="N10" s="1013">
        <f>tertiair!M16</f>
        <v>0</v>
      </c>
      <c r="O10" s="1013">
        <f ca="1">tertiair!N16</f>
        <v>1315.1375824746885</v>
      </c>
      <c r="P10" s="1013">
        <f>tertiair!O16</f>
        <v>4.6900000000000004</v>
      </c>
      <c r="Q10" s="1014">
        <f>tertiair!P16</f>
        <v>171.6</v>
      </c>
      <c r="R10" s="700">
        <f ca="1">SUM(C10:Q10)</f>
        <v>29128.113839728263</v>
      </c>
      <c r="S10" s="67"/>
    </row>
    <row r="11" spans="1:19" s="473" customFormat="1">
      <c r="A11" s="809" t="s">
        <v>225</v>
      </c>
      <c r="B11" s="814"/>
      <c r="C11" s="1013">
        <f>huishoudens!B8</f>
        <v>33478.704997869718</v>
      </c>
      <c r="D11" s="1013">
        <f>huishoudens!C8</f>
        <v>0</v>
      </c>
      <c r="E11" s="1013">
        <f>huishoudens!D8</f>
        <v>77779.947007392417</v>
      </c>
      <c r="F11" s="1013">
        <f>huishoudens!E8</f>
        <v>6354.0663251773685</v>
      </c>
      <c r="G11" s="1013">
        <f>huishoudens!F8</f>
        <v>12340.946242000062</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7733.6832483691333</v>
      </c>
      <c r="P11" s="1013">
        <f>huishoudens!O8</f>
        <v>204.79666666666668</v>
      </c>
      <c r="Q11" s="1014">
        <f>huishoudens!P8</f>
        <v>591.06666666666661</v>
      </c>
      <c r="R11" s="700">
        <f>SUM(C11:Q11)</f>
        <v>138483.21115414205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20262.145778899732</v>
      </c>
      <c r="D13" s="1013">
        <f>industrie!C18</f>
        <v>0</v>
      </c>
      <c r="E13" s="1013">
        <f>industrie!D18</f>
        <v>119002.32548426773</v>
      </c>
      <c r="F13" s="1013">
        <f>industrie!E18</f>
        <v>1557.8985999725951</v>
      </c>
      <c r="G13" s="1013">
        <f>industrie!F18</f>
        <v>5176.2040705560667</v>
      </c>
      <c r="H13" s="1013">
        <f>industrie!G18</f>
        <v>0</v>
      </c>
      <c r="I13" s="1013">
        <f>industrie!H18</f>
        <v>0</v>
      </c>
      <c r="J13" s="1013">
        <f>industrie!I18</f>
        <v>0</v>
      </c>
      <c r="K13" s="1013">
        <f>industrie!J18</f>
        <v>64.125133806473059</v>
      </c>
      <c r="L13" s="1013">
        <f>industrie!K18</f>
        <v>0</v>
      </c>
      <c r="M13" s="1013">
        <f>industrie!L18</f>
        <v>0</v>
      </c>
      <c r="N13" s="1013">
        <f>industrie!M18</f>
        <v>0</v>
      </c>
      <c r="O13" s="1013">
        <f>industrie!N18</f>
        <v>4701.0433094255504</v>
      </c>
      <c r="P13" s="1013">
        <f>industrie!O18</f>
        <v>0</v>
      </c>
      <c r="Q13" s="1014">
        <f>industrie!P18</f>
        <v>0</v>
      </c>
      <c r="R13" s="700">
        <f>SUM(C13:Q13)</f>
        <v>150763.74237692813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66503.137071118326</v>
      </c>
      <c r="D16" s="732">
        <f t="shared" ref="D16:R16" ca="1" si="0">SUM(D9:D15)</f>
        <v>0</v>
      </c>
      <c r="E16" s="732">
        <f t="shared" ca="1" si="0"/>
        <v>209388.44170340343</v>
      </c>
      <c r="F16" s="732">
        <f t="shared" si="0"/>
        <v>8104.5333057426669</v>
      </c>
      <c r="G16" s="732">
        <f t="shared" ca="1" si="0"/>
        <v>19592.779635458464</v>
      </c>
      <c r="H16" s="732">
        <f t="shared" si="0"/>
        <v>0</v>
      </c>
      <c r="I16" s="732">
        <f t="shared" si="0"/>
        <v>0</v>
      </c>
      <c r="J16" s="732">
        <f t="shared" si="0"/>
        <v>0</v>
      </c>
      <c r="K16" s="732">
        <f t="shared" si="0"/>
        <v>64.158181472872442</v>
      </c>
      <c r="L16" s="732">
        <f t="shared" si="0"/>
        <v>0</v>
      </c>
      <c r="M16" s="732">
        <f t="shared" ca="1" si="0"/>
        <v>0</v>
      </c>
      <c r="N16" s="732">
        <f t="shared" si="0"/>
        <v>0</v>
      </c>
      <c r="O16" s="732">
        <f t="shared" ca="1" si="0"/>
        <v>13749.864140269372</v>
      </c>
      <c r="P16" s="732">
        <f t="shared" si="0"/>
        <v>209.48666666666668</v>
      </c>
      <c r="Q16" s="732">
        <f t="shared" si="0"/>
        <v>762.66666666666663</v>
      </c>
      <c r="R16" s="732">
        <f t="shared" ca="1" si="0"/>
        <v>318375.06737079844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869.55012477530261</v>
      </c>
      <c r="I19" s="1013">
        <f>transport!H54</f>
        <v>0</v>
      </c>
      <c r="J19" s="1013">
        <f>transport!I54</f>
        <v>0</v>
      </c>
      <c r="K19" s="1013">
        <f>transport!J54</f>
        <v>0</v>
      </c>
      <c r="L19" s="1013">
        <f>transport!K54</f>
        <v>0</v>
      </c>
      <c r="M19" s="1013">
        <f>transport!L54</f>
        <v>0</v>
      </c>
      <c r="N19" s="1013">
        <f>transport!M54</f>
        <v>49.38660839179115</v>
      </c>
      <c r="O19" s="1013">
        <f>transport!N54</f>
        <v>0</v>
      </c>
      <c r="P19" s="1013">
        <f>transport!O54</f>
        <v>0</v>
      </c>
      <c r="Q19" s="1014">
        <f>transport!P54</f>
        <v>0</v>
      </c>
      <c r="R19" s="700">
        <f>SUM(C19:Q19)</f>
        <v>918.93673316709373</v>
      </c>
      <c r="S19" s="67"/>
    </row>
    <row r="20" spans="1:19" s="473" customFormat="1">
      <c r="A20" s="809" t="s">
        <v>307</v>
      </c>
      <c r="B20" s="814"/>
      <c r="C20" s="1013">
        <f>transport!B14</f>
        <v>23.95614921457388</v>
      </c>
      <c r="D20" s="1013">
        <f>transport!C14</f>
        <v>0</v>
      </c>
      <c r="E20" s="1013">
        <f>transport!D14</f>
        <v>98.094868603743393</v>
      </c>
      <c r="F20" s="1013">
        <f>transport!E14</f>
        <v>130.66089450992837</v>
      </c>
      <c r="G20" s="1013">
        <f>transport!F14</f>
        <v>0</v>
      </c>
      <c r="H20" s="1013">
        <f>transport!G14</f>
        <v>39787.175353090599</v>
      </c>
      <c r="I20" s="1013">
        <f>transport!H14</f>
        <v>11006.676144433992</v>
      </c>
      <c r="J20" s="1013">
        <f>transport!I14</f>
        <v>0</v>
      </c>
      <c r="K20" s="1013">
        <f>transport!J14</f>
        <v>0</v>
      </c>
      <c r="L20" s="1013">
        <f>transport!K14</f>
        <v>0</v>
      </c>
      <c r="M20" s="1013">
        <f>transport!L14</f>
        <v>0</v>
      </c>
      <c r="N20" s="1013">
        <f>transport!M14</f>
        <v>2649.258655753551</v>
      </c>
      <c r="O20" s="1013">
        <f>transport!N14</f>
        <v>0</v>
      </c>
      <c r="P20" s="1013">
        <f>transport!O14</f>
        <v>0</v>
      </c>
      <c r="Q20" s="1014">
        <f>transport!P14</f>
        <v>0</v>
      </c>
      <c r="R20" s="700">
        <f>SUM(C20:Q20)</f>
        <v>53695.822065606393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23.95614921457388</v>
      </c>
      <c r="D22" s="812">
        <f t="shared" ref="D22:R22" si="1">SUM(D18:D21)</f>
        <v>0</v>
      </c>
      <c r="E22" s="812">
        <f t="shared" si="1"/>
        <v>98.094868603743393</v>
      </c>
      <c r="F22" s="812">
        <f t="shared" si="1"/>
        <v>130.66089450992837</v>
      </c>
      <c r="G22" s="812">
        <f t="shared" si="1"/>
        <v>0</v>
      </c>
      <c r="H22" s="812">
        <f t="shared" si="1"/>
        <v>40656.725477865904</v>
      </c>
      <c r="I22" s="812">
        <f t="shared" si="1"/>
        <v>11006.676144433992</v>
      </c>
      <c r="J22" s="812">
        <f t="shared" si="1"/>
        <v>0</v>
      </c>
      <c r="K22" s="812">
        <f t="shared" si="1"/>
        <v>0</v>
      </c>
      <c r="L22" s="812">
        <f t="shared" si="1"/>
        <v>0</v>
      </c>
      <c r="M22" s="812">
        <f t="shared" si="1"/>
        <v>0</v>
      </c>
      <c r="N22" s="812">
        <f t="shared" si="1"/>
        <v>2698.645264145342</v>
      </c>
      <c r="O22" s="812">
        <f t="shared" si="1"/>
        <v>0</v>
      </c>
      <c r="P22" s="812">
        <f t="shared" si="1"/>
        <v>0</v>
      </c>
      <c r="Q22" s="812">
        <f t="shared" si="1"/>
        <v>0</v>
      </c>
      <c r="R22" s="812">
        <f t="shared" si="1"/>
        <v>54614.758798773488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59.154347547702301</v>
      </c>
      <c r="D24" s="1013">
        <f>+landbouw!C8</f>
        <v>0</v>
      </c>
      <c r="E24" s="1013">
        <f>+landbouw!D8</f>
        <v>67.609575318136422</v>
      </c>
      <c r="F24" s="1013">
        <f>+landbouw!E8</f>
        <v>1.7387269526585334</v>
      </c>
      <c r="G24" s="1013">
        <f>+landbouw!F8</f>
        <v>246.43381535056488</v>
      </c>
      <c r="H24" s="1013">
        <f>+landbouw!G8</f>
        <v>0</v>
      </c>
      <c r="I24" s="1013">
        <f>+landbouw!H8</f>
        <v>0</v>
      </c>
      <c r="J24" s="1013">
        <f>+landbouw!I8</f>
        <v>0</v>
      </c>
      <c r="K24" s="1013">
        <f>+landbouw!J8</f>
        <v>8.5701946055068756</v>
      </c>
      <c r="L24" s="1013">
        <f>+landbouw!K8</f>
        <v>0</v>
      </c>
      <c r="M24" s="1013">
        <f>+landbouw!L8</f>
        <v>0</v>
      </c>
      <c r="N24" s="1013">
        <f>+landbouw!M8</f>
        <v>0</v>
      </c>
      <c r="O24" s="1013">
        <f>+landbouw!N8</f>
        <v>0</v>
      </c>
      <c r="P24" s="1013">
        <f>+landbouw!O8</f>
        <v>0</v>
      </c>
      <c r="Q24" s="1014">
        <f>+landbouw!P8</f>
        <v>0</v>
      </c>
      <c r="R24" s="700">
        <f>SUM(C24:Q24)</f>
        <v>383.50665977456896</v>
      </c>
      <c r="S24" s="67"/>
    </row>
    <row r="25" spans="1:19" s="473" customFormat="1" ht="15" thickBot="1">
      <c r="A25" s="831" t="s">
        <v>836</v>
      </c>
      <c r="B25" s="1016"/>
      <c r="C25" s="1017">
        <f>IF(Onbekend_ele_kWh="---",0,Onbekend_ele_kWh)/1000+IF(REST_rest_ele_kWh="---",0,REST_rest_ele_kWh)/1000</f>
        <v>627.10119162796798</v>
      </c>
      <c r="D25" s="1017"/>
      <c r="E25" s="1017">
        <f>IF(onbekend_gas_kWh="---",0,onbekend_gas_kWh)/1000+IF(REST_rest_gas_kWh="---",0,REST_rest_gas_kWh)/1000</f>
        <v>2890.60656435787</v>
      </c>
      <c r="F25" s="1017"/>
      <c r="G25" s="1017"/>
      <c r="H25" s="1017"/>
      <c r="I25" s="1017"/>
      <c r="J25" s="1017"/>
      <c r="K25" s="1017"/>
      <c r="L25" s="1017"/>
      <c r="M25" s="1017"/>
      <c r="N25" s="1017"/>
      <c r="O25" s="1017"/>
      <c r="P25" s="1017"/>
      <c r="Q25" s="1018"/>
      <c r="R25" s="700">
        <f>SUM(C25:Q25)</f>
        <v>3517.707755985838</v>
      </c>
      <c r="S25" s="67"/>
    </row>
    <row r="26" spans="1:19" s="473" customFormat="1" ht="15.75" thickBot="1">
      <c r="A26" s="705" t="s">
        <v>837</v>
      </c>
      <c r="B26" s="817"/>
      <c r="C26" s="812">
        <f>SUM(C24:C25)</f>
        <v>686.25553917567026</v>
      </c>
      <c r="D26" s="812">
        <f t="shared" ref="D26:R26" si="2">SUM(D24:D25)</f>
        <v>0</v>
      </c>
      <c r="E26" s="812">
        <f t="shared" si="2"/>
        <v>2958.2161396760066</v>
      </c>
      <c r="F26" s="812">
        <f t="shared" si="2"/>
        <v>1.7387269526585334</v>
      </c>
      <c r="G26" s="812">
        <f t="shared" si="2"/>
        <v>246.43381535056488</v>
      </c>
      <c r="H26" s="812">
        <f t="shared" si="2"/>
        <v>0</v>
      </c>
      <c r="I26" s="812">
        <f t="shared" si="2"/>
        <v>0</v>
      </c>
      <c r="J26" s="812">
        <f t="shared" si="2"/>
        <v>0</v>
      </c>
      <c r="K26" s="812">
        <f t="shared" si="2"/>
        <v>8.5701946055068756</v>
      </c>
      <c r="L26" s="812">
        <f t="shared" si="2"/>
        <v>0</v>
      </c>
      <c r="M26" s="812">
        <f t="shared" si="2"/>
        <v>0</v>
      </c>
      <c r="N26" s="812">
        <f t="shared" si="2"/>
        <v>0</v>
      </c>
      <c r="O26" s="812">
        <f t="shared" si="2"/>
        <v>0</v>
      </c>
      <c r="P26" s="812">
        <f t="shared" si="2"/>
        <v>0</v>
      </c>
      <c r="Q26" s="812">
        <f t="shared" si="2"/>
        <v>0</v>
      </c>
      <c r="R26" s="812">
        <f t="shared" si="2"/>
        <v>3901.2144157604071</v>
      </c>
      <c r="S26" s="67"/>
    </row>
    <row r="27" spans="1:19" s="473" customFormat="1" ht="17.25" thickTop="1" thickBot="1">
      <c r="A27" s="706" t="s">
        <v>116</v>
      </c>
      <c r="B27" s="805"/>
      <c r="C27" s="707">
        <f ca="1">C22+C16+C26</f>
        <v>67213.348759508575</v>
      </c>
      <c r="D27" s="707">
        <f t="shared" ref="D27:R27" ca="1" si="3">D22+D16+D26</f>
        <v>0</v>
      </c>
      <c r="E27" s="707">
        <f t="shared" ca="1" si="3"/>
        <v>212444.75271168319</v>
      </c>
      <c r="F27" s="707">
        <f t="shared" si="3"/>
        <v>8236.9329272052546</v>
      </c>
      <c r="G27" s="707">
        <f t="shared" ca="1" si="3"/>
        <v>19839.213450809028</v>
      </c>
      <c r="H27" s="707">
        <f t="shared" si="3"/>
        <v>40656.725477865904</v>
      </c>
      <c r="I27" s="707">
        <f t="shared" si="3"/>
        <v>11006.676144433992</v>
      </c>
      <c r="J27" s="707">
        <f t="shared" si="3"/>
        <v>0</v>
      </c>
      <c r="K27" s="707">
        <f t="shared" si="3"/>
        <v>72.728376078379313</v>
      </c>
      <c r="L27" s="707">
        <f t="shared" si="3"/>
        <v>0</v>
      </c>
      <c r="M27" s="707">
        <f t="shared" ca="1" si="3"/>
        <v>0</v>
      </c>
      <c r="N27" s="707">
        <f t="shared" si="3"/>
        <v>2698.645264145342</v>
      </c>
      <c r="O27" s="707">
        <f t="shared" ca="1" si="3"/>
        <v>13749.864140269372</v>
      </c>
      <c r="P27" s="707">
        <f t="shared" si="3"/>
        <v>209.48666666666668</v>
      </c>
      <c r="Q27" s="707">
        <f t="shared" si="3"/>
        <v>762.66666666666663</v>
      </c>
      <c r="R27" s="707">
        <f t="shared" ca="1" si="3"/>
        <v>376891.04058533238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2642.5250391960813</v>
      </c>
      <c r="D40" s="1013">
        <f ca="1">tertiair!C20</f>
        <v>0</v>
      </c>
      <c r="E40" s="1013">
        <f ca="1">tertiair!D20</f>
        <v>2546.4461807721414</v>
      </c>
      <c r="F40" s="1013">
        <f>tertiair!E20</f>
        <v>43.713022394543508</v>
      </c>
      <c r="G40" s="1013">
        <f ca="1">tertiair!F20</f>
        <v>554.19302921492294</v>
      </c>
      <c r="H40" s="1013">
        <f>tertiair!G20</f>
        <v>0</v>
      </c>
      <c r="I40" s="1013">
        <f>tertiair!H20</f>
        <v>0</v>
      </c>
      <c r="J40" s="1013">
        <f>tertiair!I20</f>
        <v>0</v>
      </c>
      <c r="K40" s="1013">
        <f>tertiair!J20</f>
        <v>1.1698873905381975E-2</v>
      </c>
      <c r="L40" s="1013">
        <f>tertiair!K20</f>
        <v>0</v>
      </c>
      <c r="M40" s="1013">
        <f ca="1">tertiair!L20</f>
        <v>0</v>
      </c>
      <c r="N40" s="1013">
        <f>tertiair!M20</f>
        <v>0</v>
      </c>
      <c r="O40" s="1013">
        <f ca="1">tertiair!N20</f>
        <v>0</v>
      </c>
      <c r="P40" s="1013">
        <f>tertiair!O20</f>
        <v>0</v>
      </c>
      <c r="Q40" s="774">
        <f>tertiair!P20</f>
        <v>0</v>
      </c>
      <c r="R40" s="850">
        <f t="shared" ca="1" si="4"/>
        <v>5786.8889704515941</v>
      </c>
    </row>
    <row r="41" spans="1:18">
      <c r="A41" s="822" t="s">
        <v>225</v>
      </c>
      <c r="B41" s="829"/>
      <c r="C41" s="1013">
        <f ca="1">huishoudens!B12</f>
        <v>6932.0115687973093</v>
      </c>
      <c r="D41" s="1013">
        <f ca="1">huishoudens!C12</f>
        <v>0</v>
      </c>
      <c r="E41" s="1013">
        <f>huishoudens!D12</f>
        <v>15711.549295493269</v>
      </c>
      <c r="F41" s="1013">
        <f>huishoudens!E12</f>
        <v>1442.3730558152627</v>
      </c>
      <c r="G41" s="1013">
        <f>huishoudens!F12</f>
        <v>3295.0326466140168</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27380.966566719861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4195.4259866660896</v>
      </c>
      <c r="D43" s="1013">
        <f ca="1">industrie!C22</f>
        <v>0</v>
      </c>
      <c r="E43" s="1013">
        <f>industrie!D22</f>
        <v>24038.469747822084</v>
      </c>
      <c r="F43" s="1013">
        <f>industrie!E22</f>
        <v>353.64298219377912</v>
      </c>
      <c r="G43" s="1013">
        <f>industrie!F22</f>
        <v>1382.0464868384699</v>
      </c>
      <c r="H43" s="1013">
        <f>industrie!G22</f>
        <v>0</v>
      </c>
      <c r="I43" s="1013">
        <f>industrie!H22</f>
        <v>0</v>
      </c>
      <c r="J43" s="1013">
        <f>industrie!I22</f>
        <v>0</v>
      </c>
      <c r="K43" s="1013">
        <f>industrie!J22</f>
        <v>22.700297367491462</v>
      </c>
      <c r="L43" s="1013">
        <f>industrie!K22</f>
        <v>0</v>
      </c>
      <c r="M43" s="1013">
        <f>industrie!L22</f>
        <v>0</v>
      </c>
      <c r="N43" s="1013">
        <f>industrie!M22</f>
        <v>0</v>
      </c>
      <c r="O43" s="1013">
        <f>industrie!N22</f>
        <v>0</v>
      </c>
      <c r="P43" s="1013">
        <f>industrie!O22</f>
        <v>0</v>
      </c>
      <c r="Q43" s="774">
        <f>industrie!P22</f>
        <v>0</v>
      </c>
      <c r="R43" s="849">
        <f t="shared" ca="1" si="4"/>
        <v>29992.285500887912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13769.962594659479</v>
      </c>
      <c r="D46" s="732">
        <f t="shared" ref="D46:Q46" ca="1" si="5">SUM(D39:D45)</f>
        <v>0</v>
      </c>
      <c r="E46" s="732">
        <f t="shared" ca="1" si="5"/>
        <v>42296.465224087493</v>
      </c>
      <c r="F46" s="732">
        <f t="shared" si="5"/>
        <v>1839.7290604035852</v>
      </c>
      <c r="G46" s="732">
        <f t="shared" ca="1" si="5"/>
        <v>5231.2721626674092</v>
      </c>
      <c r="H46" s="732">
        <f t="shared" si="5"/>
        <v>0</v>
      </c>
      <c r="I46" s="732">
        <f t="shared" si="5"/>
        <v>0</v>
      </c>
      <c r="J46" s="732">
        <f t="shared" si="5"/>
        <v>0</v>
      </c>
      <c r="K46" s="732">
        <f t="shared" si="5"/>
        <v>22.711996241396843</v>
      </c>
      <c r="L46" s="732">
        <f t="shared" si="5"/>
        <v>0</v>
      </c>
      <c r="M46" s="732">
        <f t="shared" ca="1" si="5"/>
        <v>0</v>
      </c>
      <c r="N46" s="732">
        <f t="shared" si="5"/>
        <v>0</v>
      </c>
      <c r="O46" s="732">
        <f t="shared" ca="1" si="5"/>
        <v>0</v>
      </c>
      <c r="P46" s="732">
        <f t="shared" si="5"/>
        <v>0</v>
      </c>
      <c r="Q46" s="732">
        <f t="shared" si="5"/>
        <v>0</v>
      </c>
      <c r="R46" s="732">
        <f ca="1">SUM(R39:R45)</f>
        <v>63160.141038059366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232.16988331500582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232.16988331500582</v>
      </c>
    </row>
    <row r="50" spans="1:18">
      <c r="A50" s="825" t="s">
        <v>307</v>
      </c>
      <c r="B50" s="835"/>
      <c r="C50" s="703">
        <f ca="1">transport!B18</f>
        <v>4.9602965081781853</v>
      </c>
      <c r="D50" s="703">
        <f>transport!C18</f>
        <v>0</v>
      </c>
      <c r="E50" s="703">
        <f>transport!D18</f>
        <v>19.815163457956167</v>
      </c>
      <c r="F50" s="703">
        <f>transport!E18</f>
        <v>29.66002305375374</v>
      </c>
      <c r="G50" s="703">
        <f>transport!F18</f>
        <v>0</v>
      </c>
      <c r="H50" s="703">
        <f>transport!G18</f>
        <v>10623.175819275191</v>
      </c>
      <c r="I50" s="703">
        <f>transport!H18</f>
        <v>2740.6623599640639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13418.273662259144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4.9602965081781853</v>
      </c>
      <c r="D52" s="732">
        <f t="shared" ref="D52:Q52" ca="1" si="6">SUM(D48:D51)</f>
        <v>0</v>
      </c>
      <c r="E52" s="732">
        <f t="shared" si="6"/>
        <v>19.815163457956167</v>
      </c>
      <c r="F52" s="732">
        <f t="shared" si="6"/>
        <v>29.66002305375374</v>
      </c>
      <c r="G52" s="732">
        <f t="shared" si="6"/>
        <v>0</v>
      </c>
      <c r="H52" s="732">
        <f t="shared" si="6"/>
        <v>10855.345702590197</v>
      </c>
      <c r="I52" s="732">
        <f t="shared" si="6"/>
        <v>2740.6623599640639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13650.44354557415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12.248341791339346</v>
      </c>
      <c r="D54" s="703">
        <f ca="1">+landbouw!C12</f>
        <v>0</v>
      </c>
      <c r="E54" s="703">
        <f>+landbouw!D12</f>
        <v>13.657134214263557</v>
      </c>
      <c r="F54" s="703">
        <f>+landbouw!E12</f>
        <v>0.39469101825348707</v>
      </c>
      <c r="G54" s="703">
        <f>+landbouw!F12</f>
        <v>65.797828698600824</v>
      </c>
      <c r="H54" s="703">
        <f>+landbouw!G12</f>
        <v>0</v>
      </c>
      <c r="I54" s="703">
        <f>+landbouw!H12</f>
        <v>0</v>
      </c>
      <c r="J54" s="703">
        <f>+landbouw!I12</f>
        <v>0</v>
      </c>
      <c r="K54" s="703">
        <f>+landbouw!J12</f>
        <v>3.0338488903494336</v>
      </c>
      <c r="L54" s="703">
        <f>+landbouw!K12</f>
        <v>0</v>
      </c>
      <c r="M54" s="703">
        <f>+landbouw!L12</f>
        <v>0</v>
      </c>
      <c r="N54" s="703">
        <f>+landbouw!M12</f>
        <v>0</v>
      </c>
      <c r="O54" s="703">
        <f>+landbouw!N12</f>
        <v>0</v>
      </c>
      <c r="P54" s="703">
        <f>+landbouw!O12</f>
        <v>0</v>
      </c>
      <c r="Q54" s="704">
        <f>+landbouw!P12</f>
        <v>0</v>
      </c>
      <c r="R54" s="731">
        <f ca="1">SUM(C54:Q54)</f>
        <v>95.131844612806646</v>
      </c>
    </row>
    <row r="55" spans="1:18" ht="15" thickBot="1">
      <c r="A55" s="825" t="s">
        <v>836</v>
      </c>
      <c r="B55" s="835"/>
      <c r="C55" s="703">
        <f ca="1">C25*'EF ele_warmte'!B12</f>
        <v>129.8459039992216</v>
      </c>
      <c r="D55" s="703"/>
      <c r="E55" s="703">
        <f>E25*EF_CO2_aardgas</f>
        <v>583.90252600028975</v>
      </c>
      <c r="F55" s="703"/>
      <c r="G55" s="703"/>
      <c r="H55" s="703"/>
      <c r="I55" s="703"/>
      <c r="J55" s="703"/>
      <c r="K55" s="703"/>
      <c r="L55" s="703"/>
      <c r="M55" s="703"/>
      <c r="N55" s="703"/>
      <c r="O55" s="703"/>
      <c r="P55" s="703"/>
      <c r="Q55" s="704"/>
      <c r="R55" s="731">
        <f ca="1">SUM(C55:Q55)</f>
        <v>713.74842999951136</v>
      </c>
    </row>
    <row r="56" spans="1:18" ht="15.75" thickBot="1">
      <c r="A56" s="823" t="s">
        <v>837</v>
      </c>
      <c r="B56" s="836"/>
      <c r="C56" s="732">
        <f ca="1">SUM(C54:C55)</f>
        <v>142.09424579056096</v>
      </c>
      <c r="D56" s="732">
        <f t="shared" ref="D56:Q56" ca="1" si="7">SUM(D54:D55)</f>
        <v>0</v>
      </c>
      <c r="E56" s="732">
        <f t="shared" si="7"/>
        <v>597.55966021455333</v>
      </c>
      <c r="F56" s="732">
        <f t="shared" si="7"/>
        <v>0.39469101825348707</v>
      </c>
      <c r="G56" s="732">
        <f t="shared" si="7"/>
        <v>65.797828698600824</v>
      </c>
      <c r="H56" s="732">
        <f t="shared" si="7"/>
        <v>0</v>
      </c>
      <c r="I56" s="732">
        <f t="shared" si="7"/>
        <v>0</v>
      </c>
      <c r="J56" s="732">
        <f t="shared" si="7"/>
        <v>0</v>
      </c>
      <c r="K56" s="732">
        <f t="shared" si="7"/>
        <v>3.0338488903494336</v>
      </c>
      <c r="L56" s="732">
        <f t="shared" si="7"/>
        <v>0</v>
      </c>
      <c r="M56" s="732">
        <f t="shared" si="7"/>
        <v>0</v>
      </c>
      <c r="N56" s="732">
        <f t="shared" si="7"/>
        <v>0</v>
      </c>
      <c r="O56" s="732">
        <f t="shared" si="7"/>
        <v>0</v>
      </c>
      <c r="P56" s="732">
        <f t="shared" si="7"/>
        <v>0</v>
      </c>
      <c r="Q56" s="733">
        <f t="shared" si="7"/>
        <v>0</v>
      </c>
      <c r="R56" s="734">
        <f ca="1">SUM(R54:R55)</f>
        <v>808.88027461231798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13917.017136958217</v>
      </c>
      <c r="D61" s="740">
        <f t="shared" ref="D61:Q61" ca="1" si="8">D46+D52+D56</f>
        <v>0</v>
      </c>
      <c r="E61" s="740">
        <f t="shared" ca="1" si="8"/>
        <v>42913.840047760001</v>
      </c>
      <c r="F61" s="740">
        <f t="shared" si="8"/>
        <v>1869.7837744755925</v>
      </c>
      <c r="G61" s="740">
        <f t="shared" ca="1" si="8"/>
        <v>5297.0699913660101</v>
      </c>
      <c r="H61" s="740">
        <f t="shared" si="8"/>
        <v>10855.345702590197</v>
      </c>
      <c r="I61" s="740">
        <f t="shared" si="8"/>
        <v>2740.6623599640639</v>
      </c>
      <c r="J61" s="740">
        <f t="shared" si="8"/>
        <v>0</v>
      </c>
      <c r="K61" s="740">
        <f t="shared" si="8"/>
        <v>25.745845131746275</v>
      </c>
      <c r="L61" s="740">
        <f t="shared" si="8"/>
        <v>0</v>
      </c>
      <c r="M61" s="740">
        <f t="shared" ca="1" si="8"/>
        <v>0</v>
      </c>
      <c r="N61" s="740">
        <f t="shared" si="8"/>
        <v>0</v>
      </c>
      <c r="O61" s="740">
        <f t="shared" ca="1" si="8"/>
        <v>0</v>
      </c>
      <c r="P61" s="740">
        <f t="shared" si="8"/>
        <v>0</v>
      </c>
      <c r="Q61" s="740">
        <f t="shared" si="8"/>
        <v>0</v>
      </c>
      <c r="R61" s="740">
        <f ca="1">R46+R52+R56</f>
        <v>77619.464858245832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0.20705733896333198</v>
      </c>
      <c r="D63" s="781">
        <f t="shared" ca="1" si="9"/>
        <v>0</v>
      </c>
      <c r="E63" s="1024">
        <f t="shared" ca="1" si="9"/>
        <v>0.20199999999999999</v>
      </c>
      <c r="F63" s="781">
        <f t="shared" si="9"/>
        <v>0.22699999999999995</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4240.4205379781588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4240.4205379781588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4240.4205379781588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4240.4205379781588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33478.704997869718</v>
      </c>
      <c r="C4" s="477">
        <f>huishoudens!C8</f>
        <v>0</v>
      </c>
      <c r="D4" s="477">
        <f>huishoudens!D8</f>
        <v>77779.947007392417</v>
      </c>
      <c r="E4" s="477">
        <f>huishoudens!E8</f>
        <v>6354.0663251773685</v>
      </c>
      <c r="F4" s="477">
        <f>huishoudens!F8</f>
        <v>12340.946242000062</v>
      </c>
      <c r="G4" s="477">
        <f>huishoudens!G8</f>
        <v>0</v>
      </c>
      <c r="H4" s="477">
        <f>huishoudens!H8</f>
        <v>0</v>
      </c>
      <c r="I4" s="477">
        <f>huishoudens!I8</f>
        <v>0</v>
      </c>
      <c r="J4" s="477">
        <f>huishoudens!J8</f>
        <v>0</v>
      </c>
      <c r="K4" s="477">
        <f>huishoudens!K8</f>
        <v>0</v>
      </c>
      <c r="L4" s="477">
        <f>huishoudens!L8</f>
        <v>0</v>
      </c>
      <c r="M4" s="477">
        <f>huishoudens!M8</f>
        <v>0</v>
      </c>
      <c r="N4" s="477">
        <f>huishoudens!N8</f>
        <v>7733.6832483691333</v>
      </c>
      <c r="O4" s="477">
        <f>huishoudens!O8</f>
        <v>204.79666666666668</v>
      </c>
      <c r="P4" s="478">
        <f>huishoudens!P8</f>
        <v>591.06666666666661</v>
      </c>
      <c r="Q4" s="479">
        <f>SUM(B4:P4)</f>
        <v>138483.21115414205</v>
      </c>
    </row>
    <row r="5" spans="1:17">
      <c r="A5" s="476" t="s">
        <v>156</v>
      </c>
      <c r="B5" s="477">
        <f ca="1">tertiair!B16</f>
        <v>11504.188294348871</v>
      </c>
      <c r="C5" s="477">
        <f ca="1">tertiair!C16</f>
        <v>0</v>
      </c>
      <c r="D5" s="477">
        <f ca="1">tertiair!D16</f>
        <v>12606.169211743272</v>
      </c>
      <c r="E5" s="477">
        <f>tertiair!E16</f>
        <v>192.56838059270268</v>
      </c>
      <c r="F5" s="477">
        <f ca="1">tertiair!F16</f>
        <v>2075.6293229023331</v>
      </c>
      <c r="G5" s="477">
        <f>tertiair!G16</f>
        <v>0</v>
      </c>
      <c r="H5" s="477">
        <f>tertiair!H16</f>
        <v>0</v>
      </c>
      <c r="I5" s="477">
        <f>tertiair!I16</f>
        <v>0</v>
      </c>
      <c r="J5" s="477">
        <f>tertiair!J16</f>
        <v>3.3047666399384112E-2</v>
      </c>
      <c r="K5" s="477">
        <f>tertiair!K16</f>
        <v>0</v>
      </c>
      <c r="L5" s="477">
        <f ca="1">tertiair!L16</f>
        <v>0</v>
      </c>
      <c r="M5" s="477">
        <f>tertiair!M16</f>
        <v>0</v>
      </c>
      <c r="N5" s="477">
        <f ca="1">tertiair!N16</f>
        <v>1315.1375824746885</v>
      </c>
      <c r="O5" s="477">
        <f>tertiair!O16</f>
        <v>4.6900000000000004</v>
      </c>
      <c r="P5" s="478">
        <f>tertiair!P16</f>
        <v>171.6</v>
      </c>
      <c r="Q5" s="476">
        <f t="shared" ref="Q5:Q14" ca="1" si="0">SUM(B5:P5)</f>
        <v>27870.015839728265</v>
      </c>
    </row>
    <row r="6" spans="1:17">
      <c r="A6" s="476" t="s">
        <v>194</v>
      </c>
      <c r="B6" s="477">
        <f>'openbare verlichting'!B8</f>
        <v>1258.098</v>
      </c>
      <c r="C6" s="477"/>
      <c r="D6" s="477"/>
      <c r="E6" s="477"/>
      <c r="F6" s="477"/>
      <c r="G6" s="477"/>
      <c r="H6" s="477"/>
      <c r="I6" s="477"/>
      <c r="J6" s="477"/>
      <c r="K6" s="477"/>
      <c r="L6" s="477"/>
      <c r="M6" s="477"/>
      <c r="N6" s="477"/>
      <c r="O6" s="477"/>
      <c r="P6" s="478"/>
      <c r="Q6" s="476">
        <f t="shared" si="0"/>
        <v>1258.098</v>
      </c>
    </row>
    <row r="7" spans="1:17">
      <c r="A7" s="476" t="s">
        <v>112</v>
      </c>
      <c r="B7" s="477">
        <f>landbouw!B8</f>
        <v>59.154347547702301</v>
      </c>
      <c r="C7" s="477">
        <f>landbouw!C8</f>
        <v>0</v>
      </c>
      <c r="D7" s="477">
        <f>landbouw!D8</f>
        <v>67.609575318136422</v>
      </c>
      <c r="E7" s="477">
        <f>landbouw!E8</f>
        <v>1.7387269526585334</v>
      </c>
      <c r="F7" s="477">
        <f>landbouw!F8</f>
        <v>246.43381535056488</v>
      </c>
      <c r="G7" s="477">
        <f>landbouw!G8</f>
        <v>0</v>
      </c>
      <c r="H7" s="477">
        <f>landbouw!H8</f>
        <v>0</v>
      </c>
      <c r="I7" s="477">
        <f>landbouw!I8</f>
        <v>0</v>
      </c>
      <c r="J7" s="477">
        <f>landbouw!J8</f>
        <v>8.5701946055068756</v>
      </c>
      <c r="K7" s="477">
        <f>landbouw!K8</f>
        <v>0</v>
      </c>
      <c r="L7" s="477">
        <f>landbouw!L8</f>
        <v>0</v>
      </c>
      <c r="M7" s="477">
        <f>landbouw!M8</f>
        <v>0</v>
      </c>
      <c r="N7" s="477">
        <f>landbouw!N8</f>
        <v>0</v>
      </c>
      <c r="O7" s="477">
        <f>landbouw!O8</f>
        <v>0</v>
      </c>
      <c r="P7" s="478">
        <f>landbouw!P8</f>
        <v>0</v>
      </c>
      <c r="Q7" s="476">
        <f t="shared" si="0"/>
        <v>383.50665977456896</v>
      </c>
    </row>
    <row r="8" spans="1:17">
      <c r="A8" s="476" t="s">
        <v>635</v>
      </c>
      <c r="B8" s="477">
        <f>industrie!B18</f>
        <v>20262.145778899732</v>
      </c>
      <c r="C8" s="477">
        <f>industrie!C18</f>
        <v>0</v>
      </c>
      <c r="D8" s="477">
        <f>industrie!D18</f>
        <v>119002.32548426773</v>
      </c>
      <c r="E8" s="477">
        <f>industrie!E18</f>
        <v>1557.8985999725951</v>
      </c>
      <c r="F8" s="477">
        <f>industrie!F18</f>
        <v>5176.2040705560667</v>
      </c>
      <c r="G8" s="477">
        <f>industrie!G18</f>
        <v>0</v>
      </c>
      <c r="H8" s="477">
        <f>industrie!H18</f>
        <v>0</v>
      </c>
      <c r="I8" s="477">
        <f>industrie!I18</f>
        <v>0</v>
      </c>
      <c r="J8" s="477">
        <f>industrie!J18</f>
        <v>64.125133806473059</v>
      </c>
      <c r="K8" s="477">
        <f>industrie!K18</f>
        <v>0</v>
      </c>
      <c r="L8" s="477">
        <f>industrie!L18</f>
        <v>0</v>
      </c>
      <c r="M8" s="477">
        <f>industrie!M18</f>
        <v>0</v>
      </c>
      <c r="N8" s="477">
        <f>industrie!N18</f>
        <v>4701.0433094255504</v>
      </c>
      <c r="O8" s="477">
        <f>industrie!O18</f>
        <v>0</v>
      </c>
      <c r="P8" s="478">
        <f>industrie!P18</f>
        <v>0</v>
      </c>
      <c r="Q8" s="476">
        <f t="shared" si="0"/>
        <v>150763.74237692813</v>
      </c>
    </row>
    <row r="9" spans="1:17" s="482" customFormat="1">
      <c r="A9" s="480" t="s">
        <v>561</v>
      </c>
      <c r="B9" s="481">
        <f>transport!B14</f>
        <v>23.95614921457388</v>
      </c>
      <c r="C9" s="481">
        <f>transport!C14</f>
        <v>0</v>
      </c>
      <c r="D9" s="481">
        <f>transport!D14</f>
        <v>98.094868603743393</v>
      </c>
      <c r="E9" s="481">
        <f>transport!E14</f>
        <v>130.66089450992837</v>
      </c>
      <c r="F9" s="481">
        <f>transport!F14</f>
        <v>0</v>
      </c>
      <c r="G9" s="481">
        <f>transport!G14</f>
        <v>39787.175353090599</v>
      </c>
      <c r="H9" s="481">
        <f>transport!H14</f>
        <v>11006.676144433992</v>
      </c>
      <c r="I9" s="481">
        <f>transport!I14</f>
        <v>0</v>
      </c>
      <c r="J9" s="481">
        <f>transport!J14</f>
        <v>0</v>
      </c>
      <c r="K9" s="481">
        <f>transport!K14</f>
        <v>0</v>
      </c>
      <c r="L9" s="481">
        <f>transport!L14</f>
        <v>0</v>
      </c>
      <c r="M9" s="481">
        <f>transport!M14</f>
        <v>2649.258655753551</v>
      </c>
      <c r="N9" s="481">
        <f>transport!N14</f>
        <v>0</v>
      </c>
      <c r="O9" s="481">
        <f>transport!O14</f>
        <v>0</v>
      </c>
      <c r="P9" s="481">
        <f>transport!P14</f>
        <v>0</v>
      </c>
      <c r="Q9" s="480">
        <f>SUM(B9:P9)</f>
        <v>53695.822065606393</v>
      </c>
    </row>
    <row r="10" spans="1:17">
      <c r="A10" s="476" t="s">
        <v>551</v>
      </c>
      <c r="B10" s="477">
        <f>transport!B54</f>
        <v>0</v>
      </c>
      <c r="C10" s="477">
        <f>transport!C54</f>
        <v>0</v>
      </c>
      <c r="D10" s="477">
        <f>transport!D54</f>
        <v>0</v>
      </c>
      <c r="E10" s="477">
        <f>transport!E54</f>
        <v>0</v>
      </c>
      <c r="F10" s="477">
        <f>transport!F54</f>
        <v>0</v>
      </c>
      <c r="G10" s="477">
        <f>transport!G54</f>
        <v>869.55012477530261</v>
      </c>
      <c r="H10" s="477">
        <f>transport!H54</f>
        <v>0</v>
      </c>
      <c r="I10" s="477">
        <f>transport!I54</f>
        <v>0</v>
      </c>
      <c r="J10" s="477">
        <f>transport!J54</f>
        <v>0</v>
      </c>
      <c r="K10" s="477">
        <f>transport!K54</f>
        <v>0</v>
      </c>
      <c r="L10" s="477">
        <f>transport!L54</f>
        <v>0</v>
      </c>
      <c r="M10" s="477">
        <f>transport!M54</f>
        <v>49.38660839179115</v>
      </c>
      <c r="N10" s="477">
        <f>transport!N54</f>
        <v>0</v>
      </c>
      <c r="O10" s="477">
        <f>transport!O54</f>
        <v>0</v>
      </c>
      <c r="P10" s="478">
        <f>transport!P54</f>
        <v>0</v>
      </c>
      <c r="Q10" s="476">
        <f t="shared" si="0"/>
        <v>918.93673316709373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627.10119162796798</v>
      </c>
      <c r="C14" s="484"/>
      <c r="D14" s="484">
        <f>'SEAP template'!E25</f>
        <v>2890.60656435787</v>
      </c>
      <c r="E14" s="484"/>
      <c r="F14" s="484"/>
      <c r="G14" s="484"/>
      <c r="H14" s="484"/>
      <c r="I14" s="484"/>
      <c r="J14" s="484"/>
      <c r="K14" s="484"/>
      <c r="L14" s="484"/>
      <c r="M14" s="484"/>
      <c r="N14" s="484"/>
      <c r="O14" s="484"/>
      <c r="P14" s="485"/>
      <c r="Q14" s="476">
        <f t="shared" si="0"/>
        <v>3517.707755985838</v>
      </c>
    </row>
    <row r="15" spans="1:17" s="486" customFormat="1">
      <c r="A15" s="1039" t="s">
        <v>555</v>
      </c>
      <c r="B15" s="987">
        <f ca="1">SUM(B4:B14)</f>
        <v>67213.348759508561</v>
      </c>
      <c r="C15" s="987">
        <f t="shared" ref="C15:Q15" ca="1" si="1">SUM(C4:C14)</f>
        <v>0</v>
      </c>
      <c r="D15" s="987">
        <f t="shared" ca="1" si="1"/>
        <v>212444.75271168316</v>
      </c>
      <c r="E15" s="987">
        <f t="shared" si="1"/>
        <v>8236.9329272052546</v>
      </c>
      <c r="F15" s="987">
        <f t="shared" ca="1" si="1"/>
        <v>19839.213450809028</v>
      </c>
      <c r="G15" s="987">
        <f t="shared" si="1"/>
        <v>40656.725477865904</v>
      </c>
      <c r="H15" s="987">
        <f t="shared" si="1"/>
        <v>11006.676144433992</v>
      </c>
      <c r="I15" s="987">
        <f t="shared" si="1"/>
        <v>0</v>
      </c>
      <c r="J15" s="987">
        <f t="shared" si="1"/>
        <v>72.728376078379313</v>
      </c>
      <c r="K15" s="987">
        <f t="shared" si="1"/>
        <v>0</v>
      </c>
      <c r="L15" s="987">
        <f t="shared" ca="1" si="1"/>
        <v>0</v>
      </c>
      <c r="M15" s="987">
        <f t="shared" si="1"/>
        <v>2698.645264145342</v>
      </c>
      <c r="N15" s="987">
        <f t="shared" ca="1" si="1"/>
        <v>13749.864140269372</v>
      </c>
      <c r="O15" s="987">
        <f t="shared" si="1"/>
        <v>209.48666666666668</v>
      </c>
      <c r="P15" s="987">
        <f t="shared" si="1"/>
        <v>762.66666666666663</v>
      </c>
      <c r="Q15" s="987">
        <f t="shared" ca="1" si="1"/>
        <v>376891.04058533232</v>
      </c>
    </row>
    <row r="17" spans="1:17">
      <c r="A17" s="487" t="s">
        <v>556</v>
      </c>
      <c r="B17" s="786">
        <f ca="1">huishoudens!B10</f>
        <v>0.20705733896333206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6932.0115687973093</v>
      </c>
      <c r="C22" s="477">
        <f t="shared" ref="C22:C32" ca="1" si="3">C4*$C$17</f>
        <v>0</v>
      </c>
      <c r="D22" s="477">
        <f t="shared" ref="D22:D32" si="4">D4*$D$17</f>
        <v>15711.549295493269</v>
      </c>
      <c r="E22" s="477">
        <f t="shared" ref="E22:E32" si="5">E4*$E$17</f>
        <v>1442.3730558152627</v>
      </c>
      <c r="F22" s="477">
        <f t="shared" ref="F22:F32" si="6">F4*$F$17</f>
        <v>3295.0326466140168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27380.966566719861</v>
      </c>
    </row>
    <row r="23" spans="1:17">
      <c r="A23" s="476" t="s">
        <v>156</v>
      </c>
      <c r="B23" s="477">
        <f t="shared" ca="1" si="2"/>
        <v>2382.0266151609912</v>
      </c>
      <c r="C23" s="477">
        <f t="shared" ca="1" si="3"/>
        <v>0</v>
      </c>
      <c r="D23" s="477">
        <f t="shared" ca="1" si="4"/>
        <v>2546.4461807721414</v>
      </c>
      <c r="E23" s="477">
        <f t="shared" si="5"/>
        <v>43.713022394543508</v>
      </c>
      <c r="F23" s="477">
        <f t="shared" ca="1" si="6"/>
        <v>554.19302921492294</v>
      </c>
      <c r="G23" s="477">
        <f t="shared" si="7"/>
        <v>0</v>
      </c>
      <c r="H23" s="477">
        <f t="shared" si="8"/>
        <v>0</v>
      </c>
      <c r="I23" s="477">
        <f t="shared" si="9"/>
        <v>0</v>
      </c>
      <c r="J23" s="477">
        <f t="shared" si="10"/>
        <v>1.1698873905381975E-2</v>
      </c>
      <c r="K23" s="477">
        <f t="shared" si="11"/>
        <v>0</v>
      </c>
      <c r="L23" s="477">
        <f t="shared" ca="1" si="12"/>
        <v>0</v>
      </c>
      <c r="M23" s="477">
        <f t="shared" si="13"/>
        <v>0</v>
      </c>
      <c r="N23" s="477">
        <f t="shared" ca="1" si="14"/>
        <v>0</v>
      </c>
      <c r="O23" s="477">
        <f t="shared" si="15"/>
        <v>0</v>
      </c>
      <c r="P23" s="478">
        <f t="shared" si="16"/>
        <v>0</v>
      </c>
      <c r="Q23" s="476">
        <f t="shared" ref="Q23:Q32" ca="1" si="17">SUM(B23:P23)</f>
        <v>5526.3905464165036</v>
      </c>
    </row>
    <row r="24" spans="1:17">
      <c r="A24" s="476" t="s">
        <v>194</v>
      </c>
      <c r="B24" s="477">
        <f t="shared" ca="1" si="2"/>
        <v>260.49842403509012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260.49842403509012</v>
      </c>
    </row>
    <row r="25" spans="1:17">
      <c r="A25" s="476" t="s">
        <v>112</v>
      </c>
      <c r="B25" s="477">
        <f t="shared" ca="1" si="2"/>
        <v>12.248341791339346</v>
      </c>
      <c r="C25" s="477">
        <f t="shared" ca="1" si="3"/>
        <v>0</v>
      </c>
      <c r="D25" s="477">
        <f t="shared" si="4"/>
        <v>13.657134214263557</v>
      </c>
      <c r="E25" s="477">
        <f t="shared" si="5"/>
        <v>0.39469101825348707</v>
      </c>
      <c r="F25" s="477">
        <f t="shared" si="6"/>
        <v>65.797828698600824</v>
      </c>
      <c r="G25" s="477">
        <f t="shared" si="7"/>
        <v>0</v>
      </c>
      <c r="H25" s="477">
        <f t="shared" si="8"/>
        <v>0</v>
      </c>
      <c r="I25" s="477">
        <f t="shared" si="9"/>
        <v>0</v>
      </c>
      <c r="J25" s="477">
        <f t="shared" si="10"/>
        <v>3.0338488903494336</v>
      </c>
      <c r="K25" s="477">
        <f t="shared" si="11"/>
        <v>0</v>
      </c>
      <c r="L25" s="477">
        <f t="shared" si="12"/>
        <v>0</v>
      </c>
      <c r="M25" s="477">
        <f t="shared" si="13"/>
        <v>0</v>
      </c>
      <c r="N25" s="477">
        <f t="shared" si="14"/>
        <v>0</v>
      </c>
      <c r="O25" s="477">
        <f t="shared" si="15"/>
        <v>0</v>
      </c>
      <c r="P25" s="478">
        <f t="shared" si="16"/>
        <v>0</v>
      </c>
      <c r="Q25" s="476">
        <f t="shared" ca="1" si="17"/>
        <v>95.131844612806646</v>
      </c>
    </row>
    <row r="26" spans="1:17">
      <c r="A26" s="476" t="s">
        <v>635</v>
      </c>
      <c r="B26" s="477">
        <f t="shared" ca="1" si="2"/>
        <v>4195.4259866660896</v>
      </c>
      <c r="C26" s="477">
        <f t="shared" ca="1" si="3"/>
        <v>0</v>
      </c>
      <c r="D26" s="477">
        <f t="shared" si="4"/>
        <v>24038.469747822084</v>
      </c>
      <c r="E26" s="477">
        <f t="shared" si="5"/>
        <v>353.64298219377912</v>
      </c>
      <c r="F26" s="477">
        <f t="shared" si="6"/>
        <v>1382.0464868384699</v>
      </c>
      <c r="G26" s="477">
        <f t="shared" si="7"/>
        <v>0</v>
      </c>
      <c r="H26" s="477">
        <f t="shared" si="8"/>
        <v>0</v>
      </c>
      <c r="I26" s="477">
        <f t="shared" si="9"/>
        <v>0</v>
      </c>
      <c r="J26" s="477">
        <f t="shared" si="10"/>
        <v>22.700297367491462</v>
      </c>
      <c r="K26" s="477">
        <f t="shared" si="11"/>
        <v>0</v>
      </c>
      <c r="L26" s="477">
        <f t="shared" si="12"/>
        <v>0</v>
      </c>
      <c r="M26" s="477">
        <f t="shared" si="13"/>
        <v>0</v>
      </c>
      <c r="N26" s="477">
        <f t="shared" si="14"/>
        <v>0</v>
      </c>
      <c r="O26" s="477">
        <f t="shared" si="15"/>
        <v>0</v>
      </c>
      <c r="P26" s="478">
        <f t="shared" si="16"/>
        <v>0</v>
      </c>
      <c r="Q26" s="476">
        <f t="shared" ca="1" si="17"/>
        <v>29992.285500887912</v>
      </c>
    </row>
    <row r="27" spans="1:17" s="482" customFormat="1">
      <c r="A27" s="480" t="s">
        <v>561</v>
      </c>
      <c r="B27" s="780">
        <f t="shared" ca="1" si="2"/>
        <v>4.9602965081781853</v>
      </c>
      <c r="C27" s="481">
        <f t="shared" ca="1" si="3"/>
        <v>0</v>
      </c>
      <c r="D27" s="481">
        <f t="shared" si="4"/>
        <v>19.815163457956167</v>
      </c>
      <c r="E27" s="481">
        <f t="shared" si="5"/>
        <v>29.66002305375374</v>
      </c>
      <c r="F27" s="481">
        <f t="shared" si="6"/>
        <v>0</v>
      </c>
      <c r="G27" s="481">
        <f t="shared" si="7"/>
        <v>10623.175819275191</v>
      </c>
      <c r="H27" s="481">
        <f t="shared" si="8"/>
        <v>2740.6623599640639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13418.273662259144</v>
      </c>
    </row>
    <row r="28" spans="1:17">
      <c r="A28" s="476" t="s">
        <v>551</v>
      </c>
      <c r="B28" s="477">
        <f t="shared" ca="1" si="2"/>
        <v>0</v>
      </c>
      <c r="C28" s="477">
        <f t="shared" ca="1" si="3"/>
        <v>0</v>
      </c>
      <c r="D28" s="477">
        <f t="shared" si="4"/>
        <v>0</v>
      </c>
      <c r="E28" s="477">
        <f t="shared" si="5"/>
        <v>0</v>
      </c>
      <c r="F28" s="477">
        <f t="shared" si="6"/>
        <v>0</v>
      </c>
      <c r="G28" s="477">
        <f t="shared" si="7"/>
        <v>232.16988331500582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232.16988331500582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129.8459039992216</v>
      </c>
      <c r="C32" s="477">
        <f t="shared" ca="1" si="3"/>
        <v>0</v>
      </c>
      <c r="D32" s="477">
        <f t="shared" si="4"/>
        <v>583.90252600028975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713.74842999951136</v>
      </c>
    </row>
    <row r="33" spans="1:17" s="486" customFormat="1">
      <c r="A33" s="1039" t="s">
        <v>555</v>
      </c>
      <c r="B33" s="987">
        <f ca="1">SUM(B22:B32)</f>
        <v>13917.017136958217</v>
      </c>
      <c r="C33" s="987">
        <f t="shared" ref="C33:Q33" ca="1" si="18">SUM(C22:C32)</f>
        <v>0</v>
      </c>
      <c r="D33" s="987">
        <f t="shared" ca="1" si="18"/>
        <v>42913.840047760001</v>
      </c>
      <c r="E33" s="987">
        <f t="shared" si="18"/>
        <v>1869.7837744755925</v>
      </c>
      <c r="F33" s="987">
        <f t="shared" ca="1" si="18"/>
        <v>5297.0699913660101</v>
      </c>
      <c r="G33" s="987">
        <f t="shared" si="18"/>
        <v>10855.345702590197</v>
      </c>
      <c r="H33" s="987">
        <f t="shared" si="18"/>
        <v>2740.6623599640639</v>
      </c>
      <c r="I33" s="987">
        <f t="shared" si="18"/>
        <v>0</v>
      </c>
      <c r="J33" s="987">
        <f t="shared" si="18"/>
        <v>25.745845131746279</v>
      </c>
      <c r="K33" s="987">
        <f t="shared" si="18"/>
        <v>0</v>
      </c>
      <c r="L33" s="987">
        <f t="shared" ca="1" si="18"/>
        <v>0</v>
      </c>
      <c r="M33" s="987">
        <f t="shared" si="18"/>
        <v>0</v>
      </c>
      <c r="N33" s="987">
        <f t="shared" ca="1" si="18"/>
        <v>0</v>
      </c>
      <c r="O33" s="987">
        <f t="shared" si="18"/>
        <v>0</v>
      </c>
      <c r="P33" s="987">
        <f t="shared" si="18"/>
        <v>0</v>
      </c>
      <c r="Q33" s="987">
        <f t="shared" ca="1" si="18"/>
        <v>77619.464858245832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4240.4205379781588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4240.4205379781588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0.20705733896333206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0.20705733896333206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2019-08-12T08:34:07Z</dcterms:modified>
</cp:coreProperties>
</file>