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L78" i="14"/>
  <c r="L8" i="61"/>
  <c r="L10" s="1"/>
  <c r="E90" i="14"/>
  <c r="E18" i="61"/>
  <c r="K78" i="14"/>
  <c r="K8" i="61"/>
  <c r="K10" s="1"/>
  <c r="L90" i="14"/>
  <c r="L18" i="61"/>
  <c r="L20" s="1"/>
  <c r="E20"/>
  <c r="L20" i="18"/>
  <c r="O77" i="14"/>
  <c r="O9" i="61" s="1"/>
  <c r="N20"/>
  <c r="K90" i="14"/>
  <c r="K22"/>
  <c r="N77"/>
  <c r="P27" i="48"/>
  <c r="B10" i="18"/>
  <c r="H9"/>
  <c r="M77" i="14" s="1"/>
  <c r="M9" i="61" s="1"/>
  <c r="O10"/>
  <c r="C98" i="18"/>
  <c r="B101" s="1"/>
  <c r="C8" s="1"/>
  <c r="G10" i="61"/>
  <c r="P22" i="14"/>
  <c r="E10" i="61"/>
  <c r="B17" i="18"/>
  <c r="B20" s="1"/>
  <c r="F13" i="15"/>
  <c r="O22" i="14"/>
  <c r="G77"/>
  <c r="G9" i="61" s="1"/>
  <c r="H20"/>
  <c r="P25" i="48"/>
  <c r="I77" i="14"/>
  <c r="I9" i="61" s="1"/>
  <c r="L13" i="15"/>
  <c r="B13"/>
  <c r="H90" i="14"/>
  <c r="N13" i="15"/>
  <c r="F77" i="14"/>
  <c r="F9" i="61" s="1"/>
  <c r="I101" i="18"/>
  <c r="H8" s="1"/>
  <c r="E101"/>
  <c r="E8" s="1"/>
  <c r="G101"/>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78" l="1"/>
  <c r="H78"/>
  <c r="H9" i="61"/>
  <c r="H10" s="1"/>
  <c r="N78" i="14"/>
  <c r="N9" i="61"/>
  <c r="N10" s="1"/>
  <c r="O90" i="14"/>
  <c r="O18" i="61"/>
  <c r="O20" s="1"/>
  <c r="O9" i="18"/>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4"/>
  <c r="I28"/>
  <c r="I30"/>
  <c r="I22"/>
  <c r="I32"/>
  <c r="I26"/>
  <c r="I29"/>
  <c r="I27"/>
  <c r="D4"/>
  <c r="D22" s="1"/>
  <c r="E11" i="14"/>
  <c r="H29" i="48"/>
  <c r="H32"/>
  <c r="H28"/>
  <c r="H30"/>
  <c r="H26"/>
  <c r="H25"/>
  <c r="H24"/>
  <c r="H22"/>
  <c r="H23"/>
  <c r="C4"/>
  <c r="D11" i="14"/>
  <c r="B4" i="48"/>
  <c r="C11" i="14"/>
  <c r="F30" i="48"/>
  <c r="F32"/>
  <c r="F24"/>
  <c r="F31"/>
  <c r="F29"/>
  <c r="F27"/>
  <c r="F28"/>
  <c r="N31"/>
  <c r="N30"/>
  <c r="N32"/>
  <c r="N24"/>
  <c r="N28"/>
  <c r="N27"/>
  <c r="N29"/>
  <c r="B10"/>
  <c r="C19" i="14"/>
  <c r="E31" i="48"/>
  <c r="E29"/>
  <c r="E32"/>
  <c r="E24"/>
  <c r="E30"/>
  <c r="E28"/>
  <c r="M29"/>
  <c r="M22"/>
  <c r="M26"/>
  <c r="M24"/>
  <c r="M30"/>
  <c r="M32"/>
  <c r="M25"/>
  <c r="M23"/>
  <c r="P11" i="14"/>
  <c r="O4" i="48"/>
  <c r="G23"/>
  <c r="G30"/>
  <c r="G32"/>
  <c r="G25"/>
  <c r="G26"/>
  <c r="G22"/>
  <c r="G29"/>
  <c r="G24"/>
  <c r="K5"/>
  <c r="L10" i="14"/>
  <c r="L16" s="1"/>
  <c r="L27" s="1"/>
  <c r="D30" i="48"/>
  <c r="D28"/>
  <c r="D29"/>
  <c r="D31"/>
  <c r="D32"/>
  <c r="D24"/>
  <c r="L29"/>
  <c r="L32"/>
  <c r="L30"/>
  <c r="L27"/>
  <c r="L28"/>
  <c r="L24"/>
  <c r="L31"/>
  <c r="L22"/>
  <c r="Q10" i="14"/>
  <c r="P5" i="48"/>
  <c r="P23" s="1"/>
  <c r="K32"/>
  <c r="K27"/>
  <c r="K24"/>
  <c r="K26"/>
  <c r="K31"/>
  <c r="K28"/>
  <c r="K30"/>
  <c r="K22"/>
  <c r="K29"/>
  <c r="K25"/>
  <c r="C24" i="14"/>
  <c r="C26" s="1"/>
  <c r="B7" i="48"/>
  <c r="J30"/>
  <c r="J32"/>
  <c r="J24"/>
  <c r="J31"/>
  <c r="J28"/>
  <c r="J29"/>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H18"/>
  <c r="G13" i="48"/>
  <c r="G31" s="1"/>
  <c r="P22"/>
  <c r="O22"/>
  <c r="K23"/>
  <c r="K33" s="1"/>
  <c r="K15"/>
  <c r="E9"/>
  <c r="E27" s="1"/>
  <c r="F20" i="14"/>
  <c r="F22" s="1"/>
  <c r="Q13"/>
  <c r="P8" i="48"/>
  <c r="P26" s="1"/>
  <c r="Q16" i="14"/>
  <c r="Q27" s="1"/>
  <c r="D9" i="48"/>
  <c r="D27" s="1"/>
  <c r="E20" i="14"/>
  <c r="E22" s="1"/>
  <c r="P10"/>
  <c r="O5" i="48"/>
  <c r="O23" s="1"/>
  <c r="B9"/>
  <c r="C20" i="14"/>
  <c r="K24"/>
  <c r="K26" s="1"/>
  <c r="J7" i="48"/>
  <c r="J25" s="1"/>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P13"/>
  <c r="O8" i="48"/>
  <c r="J4"/>
  <c r="K11" i="14"/>
  <c r="O11"/>
  <c r="N4" i="48"/>
  <c r="N22" s="1"/>
  <c r="P15"/>
  <c r="P46" i="14"/>
  <c r="P61" s="1"/>
  <c r="P63" s="1"/>
  <c r="M14" i="22"/>
  <c r="M18" s="1"/>
  <c r="N50" i="14" s="1"/>
  <c r="N52" s="1"/>
  <c r="N61" s="1"/>
  <c r="P33" i="48"/>
  <c r="H19" i="14"/>
  <c r="G10" i="48"/>
  <c r="E7"/>
  <c r="E25" s="1"/>
  <c r="F24" i="14"/>
  <c r="F26" s="1"/>
  <c r="I15" i="48"/>
  <c r="I23"/>
  <c r="I33" s="1"/>
  <c r="P16" i="14"/>
  <c r="P27"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J5"/>
  <c r="J23" s="1"/>
  <c r="K10" i="14"/>
  <c r="F10"/>
  <c r="E5" i="48"/>
  <c r="E23" s="1"/>
  <c r="R11" i="14"/>
  <c r="G9" i="48"/>
  <c r="H20" i="14"/>
  <c r="R20" s="1"/>
  <c r="E22" i="48"/>
  <c r="Q4"/>
  <c r="O26"/>
  <c r="O33" s="1"/>
  <c r="O15"/>
  <c r="J22"/>
  <c r="H22" i="14"/>
  <c r="H27" s="1"/>
  <c r="R19"/>
  <c r="Q7" i="48"/>
  <c r="M15"/>
  <c r="M27"/>
  <c r="M33" s="1"/>
  <c r="H15"/>
  <c r="H27"/>
  <c r="H33" s="1"/>
  <c r="N63" i="14"/>
  <c r="R24"/>
  <c r="R26" s="1"/>
  <c r="N18" i="16"/>
  <c r="E20" i="15"/>
  <c r="F40" i="14" s="1"/>
  <c r="F18" i="16"/>
  <c r="J18"/>
  <c r="E18"/>
  <c r="G18" i="22"/>
  <c r="H50" i="14" s="1"/>
  <c r="H52" s="1"/>
  <c r="H61" s="1"/>
  <c r="H18" i="22"/>
  <c r="I50" i="14" s="1"/>
  <c r="I52" s="1"/>
  <c r="I61" s="1"/>
  <c r="I63" s="1"/>
  <c r="R22" l="1"/>
  <c r="J8" i="48"/>
  <c r="K13" i="14"/>
  <c r="G27" i="48"/>
  <c r="G33" s="1"/>
  <c r="G15"/>
  <c r="F13" i="14"/>
  <c r="E8" i="48"/>
  <c r="H63" i="14"/>
  <c r="K16"/>
  <c r="K27" s="1"/>
  <c r="K63" s="1"/>
  <c r="F16"/>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<sst xmlns="http://schemas.openxmlformats.org/spreadsheetml/2006/main" count="2401" uniqueCount="891">
  <si>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</si>
  <si>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</si>
  <si>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</si>
  <si>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</si>
  <si>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</si>
  <si>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</si>
  <si>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</si>
  <si>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</si>
  <si>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</si>
  <si>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</si>
  <si>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</si>
  <si>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</si>
  <si>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</si>
  <si>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</si>
  <si>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</si>
  <si>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</si>
  <si>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</si>
  <si>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</si>
  <si>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</si>
  <si>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</si>
  <si>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</si>
  <si>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</si>
  <si>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</si>
  <si>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</si>
  <si>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</si>
  <si>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</si>
  <si>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</si>
  <si>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</si>
  <si>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</si>
  <si>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</si>
  <si>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</si>
  <si>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</si>
  <si>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</si>
  <si>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</si>
  <si>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</si>
  <si>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</si>
  <si>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</si>
  <si>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</si>
  <si>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</si>
  <si>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</si>
  <si>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</si>
  <si>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</si>
  <si>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</si>
  <si>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</si>
  <si>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</si>
  <si>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</si>
  <si>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</si>
  <si>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</si>
  <si>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</si>
  <si>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</si>
  <si>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</si>
  <si>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</si>
  <si>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</si>
  <si>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</si>
  <si>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</si>
  <si>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</si>
  <si>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</si>
  <si>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</si>
  <si>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</si>
  <si>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</si>
  <si>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</si>
  <si>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</si>
  <si>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</si>
  <si>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</si>
  <si>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</si>
  <si>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</si>
  <si>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</si>
  <si>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</si>
  <si>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</si>
  <si>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</si>
  <si>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</si>
  <si>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</si>
  <si>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</si>
  <si>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</si>
  <si>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</si>
  <si>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</si>
  <si>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</si>
  <si>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</si>
  <si>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</si>
  <si>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</si>
  <si>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</si>
  <si>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</si>
  <si>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</si>
  <si>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</si>
  <si>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</si>
  <si>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</si>
  <si>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</si>
  <si>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</si>
  <si>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</si>
  <si>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</si>
  <si>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</si>
  <si>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</si>
  <si>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</si>
  <si>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</si>
  <si>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</si>
  <si>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</si>
  <si>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</si>
  <si>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</si>
  <si>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</si>
  <si>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</si>
  <si>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</si>
  <si>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</si>
  <si>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</si>
  <si>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</si>
  <si>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</si>
  <si>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</si>
  <si>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</si>
  <si>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</si>
  <si>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</si>
  <si>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</si>
  <si>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</si>
  <si>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</si>
  <si>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</si>
  <si>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</si>
  <si>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</si>
  <si>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</si>
  <si>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</si>
  <si>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</si>
  <si>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</si>
  <si>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</si>
  <si>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</si>
  <si>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</si>
  <si>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</si>
  <si>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</si>
  <si>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</si>
  <si>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</si>
  <si>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</si>
  <si>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</si>
  <si>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</si>
  <si>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</si>
  <si>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</si>
  <si>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</si>
  <si>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</si>
  <si>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</si>
  <si>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</si>
  <si>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</si>
  <si>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</si>
  <si>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</si>
  <si>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</si>
  <si>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</si>
  <si>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</si>
  <si>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</si>
  <si>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</si>
  <si>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</si>
  <si>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</si>
  <si>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</si>
  <si>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</si>
  <si>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</si>
  <si>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</si>
  <si>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</si>
  <si>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</si>
  <si>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</si>
  <si>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</si>
  <si>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</si>
  <si>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</si>
  <si>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</si>
  <si>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</si>
  <si>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</si>
  <si>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</si>
  <si>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</si>
  <si>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</si>
  <si>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</si>
  <si>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</si>
  <si>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</si>
  <si>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</si>
  <si>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</si>
  <si>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</si>
  <si>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</si>
  <si>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</si>
  <si>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</si>
  <si>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</si>
  <si>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</si>
  <si>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</si>
  <si>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</si>
  <si>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</si>
  <si>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</si>
  <si>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</si>
  <si>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</si>
  <si>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</si>
  <si>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</si>
  <si>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</si>
  <si>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</si>
  <si>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</si>
  <si>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</si>
  <si>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</si>
  <si>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</si>
  <si>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</si>
  <si>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</si>
  <si>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</si>
  <si>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</si>
  <si>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</si>
  <si>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</si>
  <si>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</si>
  <si>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</si>
  <si>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</si>
  <si>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</si>
  <si>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</si>
  <si>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</si>
  <si>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</si>
  <si>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</si>
  <si>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</si>
  <si>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</si>
  <si>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</si>
  <si>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</si>
  <si>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</si>
  <si>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</si>
  <si>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</si>
  <si>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</si>
  <si>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</si>
  <si>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</si>
  <si>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</si>
  <si>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</si>
  <si>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</si>
  <si>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</si>
  <si>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</si>
  <si>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</si>
  <si>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</si>
  <si>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</si>
  <si>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</si>
  <si>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</si>
  <si>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</si>
  <si>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</si>
  <si>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</si>
  <si>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</si>
  <si>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</si>
  <si>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</si>
  <si>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</si>
  <si>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</si>
  <si>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</si>
  <si>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</si>
  <si>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</si>
  <si>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</si>
  <si>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</si>
  <si>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</si>
  <si>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</si>
  <si>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</si>
  <si>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</si>
  <si>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</si>
  <si>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</si>
  <si>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</si>
  <si>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</si>
  <si>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</si>
  <si>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</si>
  <si>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</si>
  <si>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</si>
  <si>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</si>
  <si>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</si>
  <si>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</si>
  <si>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</si>
  <si>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</si>
  <si>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</si>
  <si>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</si>
  <si>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</si>
  <si>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</si>
  <si>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</si>
  <si>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</si>
  <si>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</si>
  <si>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</si>
  <si>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</si>
  <si>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</si>
  <si>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</si>
  <si>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</si>
  <si>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</si>
  <si>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</si>
  <si>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</si>
  <si>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</si>
  <si>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</si>
  <si>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</si>
  <si>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</si>
  <si>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</si>
  <si>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</si>
  <si>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</si>
  <si>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</si>
  <si>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</si>
  <si>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</si>
  <si>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</si>
  <si>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</si>
  <si>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</si>
  <si>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</si>
  <si>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</si>
  <si>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</si>
  <si>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</si>
  <si>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</si>
  <si>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</si>
  <si>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</si>
  <si>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</si>
  <si>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</si>
  <si>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</si>
  <si>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</si>
  <si>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</si>
  <si>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</si>
  <si>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</si>
  <si>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</si>
  <si>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</si>
  <si>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</si>
  <si>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</si>
  <si>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</si>
  <si>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</si>
  <si>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</si>
  <si>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</si>
  <si>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</si>
  <si>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</si>
  <si>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</si>
  <si>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</si>
  <si>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</si>
  <si>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</si>
  <si>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</si>
  <si>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</si>
  <si>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</si>
  <si>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</si>
  <si>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</si>
  <si>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</si>
  <si>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</si>
  <si>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</si>
  <si>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</si>
  <si>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</si>
  <si>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</si>
  <si>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</si>
  <si>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</si>
  <si>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</si>
  <si>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</si>
  <si>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</si>
  <si>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</si>
  <si>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</si>
  <si>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</si>
  <si>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</si>
  <si>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</si>
  <si>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</si>
  <si>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</si>
  <si>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</si>
  <si>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</si>
  <si>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</si>
  <si>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</si>
  <si>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</si>
  <si>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</si>
  <si>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</si>
  <si>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</si>
  <si>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</si>
  <si>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</si>
  <si>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</si>
  <si>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</si>
  <si>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</si>
  <si>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</si>
  <si>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</si>
  <si>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</si>
  <si>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</si>
  <si>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</si>
  <si>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</si>
  <si>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</si>
  <si>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</si>
  <si>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</si>
  <si>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</si>
  <si>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</si>
  <si>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</si>
  <si>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</si>
  <si>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</si>
  <si>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</si>
  <si>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</si>
  <si>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</si>
  <si>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</si>
  <si>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</si>
  <si>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</si>
  <si>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</si>
  <si>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</si>
  <si>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</si>
  <si>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</si>
  <si>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</si>
  <si>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</si>
  <si>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</si>
  <si>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</si>
  <si>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</si>
  <si>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</si>
  <si>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</si>
  <si>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</si>
  <si>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</si>
  <si>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</si>
  <si>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</si>
  <si>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</si>
  <si>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</si>
  <si>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</si>
  <si>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</si>
  <si>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</si>
  <si>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</si>
  <si>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</si>
  <si>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</si>
  <si>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</si>
  <si>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</si>
  <si>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</si>
  <si>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</si>
  <si>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</si>
  <si>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</si>
  <si>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</si>
  <si>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</si>
  <si>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</si>
  <si>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</si>
  <si>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</si>
  <si>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</si>
  <si>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</si>
  <si>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</si>
  <si>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</si>
  <si>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</si>
  <si>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</si>
  <si>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</si>
  <si>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</si>
  <si>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</si>
  <si>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</si>
  <si>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</si>
  <si>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</si>
  <si>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</si>
  <si>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</si>
  <si>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</si>
  <si>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</si>
  <si>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</si>
  <si>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</si>
  <si>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</si>
  <si>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</si>
  <si>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</si>
  <si>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</si>
  <si>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</si>
  <si>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</si>
  <si>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</si>
  <si>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</si>
  <si>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</si>
  <si>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</si>
  <si>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</si>
  <si>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</si>
  <si>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</si>
  <si>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</si>
  <si>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</si>
  <si>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</si>
  <si>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</si>
  <si>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</si>
  <si>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</si>
  <si>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</si>
  <si>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</si>
  <si>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</si>
  <si>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</si>
  <si>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</si>
  <si>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</si>
  <si>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</si>
  <si>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</si>
  <si>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</si>
  <si>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</si>
  <si>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</si>
  <si>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</si>
  <si>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</si>
  <si>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</si>
  <si>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</si>
  <si>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</si>
  <si>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</si>
  <si>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</si>
  <si>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</si>
  <si>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</si>
  <si>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</si>
  <si>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</si>
  <si>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</si>
  <si>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</si>
  <si>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</si>
  <si>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</si>
  <si>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</si>
  <si>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</si>
  <si>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</si>
  <si>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</si>
  <si>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</si>
  <si>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</si>
  <si>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</si>
  <si>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</si>
  <si>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</si>
  <si>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</si>
  <si>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</si>
  <si>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</si>
  <si>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</si>
  <si>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</si>
  <si>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</si>
  <si>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</si>
  <si>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</si>
  <si>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</si>
  <si>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</si>
  <si>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</si>
  <si>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</si>
  <si>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</si>
  <si>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</si>
  <si>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</si>
  <si>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</si>
  <si>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</si>
  <si>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</si>
  <si>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</si>
  <si>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</si>
  <si>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</si>
  <si>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</si>
  <si>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</si>
  <si>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</si>
  <si>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</si>
  <si>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</si>
  <si>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</si>
  <si>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</si>
  <si>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</si>
  <si>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</si>
  <si>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</si>
  <si>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</si>
  <si>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</si>
  <si>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</si>
  <si>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</si>
  <si>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</si>
  <si>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</si>
  <si>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</si>
  <si>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</si>
  <si>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</si>
  <si>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</si>
  <si>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</si>
  <si>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</si>
  <si>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</si>
  <si>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</si>
  <si>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</si>
  <si>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</si>
  <si>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</si>
  <si>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</si>
  <si>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</si>
  <si>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</si>
  <si>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</si>
  <si>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</si>
  <si>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</si>
  <si>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</si>
  <si>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</si>
  <si>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</si>
  <si>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</si>
  <si>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</si>
  <si>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</si>
  <si>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</si>
  <si>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</si>
  <si>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</si>
  <si>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</si>
  <si>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</si>
  <si>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</si>
  <si>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</si>
  <si>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</si>
  <si>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</si>
  <si>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</si>
  <si>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</si>
  <si>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</si>
  <si>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</si>
  <si>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</si>
  <si>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</si>
  <si>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</si>
  <si>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</si>
  <si>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</si>
  <si>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</si>
  <si>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</si>
  <si>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</si>
  <si>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</si>
  <si>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</si>
  <si>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</si>
  <si>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</si>
  <si>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</si>
  <si>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</si>
  <si>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</si>
  <si>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</si>
  <si>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</si>
  <si>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</si>
  <si>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</si>
  <si>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</si>
  <si>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</si>
  <si>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</si>
  <si>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</si>
  <si>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</si>
  <si>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</si>
  <si>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</si>
  <si>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</si>
  <si>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</si>
  <si>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</si>
  <si>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</si>
  <si>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</si>
  <si>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</si>
  <si>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</si>
  <si>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</si>
  <si>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</si>
  <si>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</si>
  <si>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</si>
  <si>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</si>
  <si>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</si>
  <si>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</si>
  <si>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</si>
  <si>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</si>
  <si>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</si>
  <si>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</si>
  <si>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</si>
  <si>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</si>
  <si>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</si>
  <si>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</si>
  <si>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</si>
  <si>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</si>
  <si>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</si>
  <si>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</si>
  <si>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</si>
  <si>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</si>
  <si>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</si>
  <si>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</si>
  <si>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</si>
  <si>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</si>
  <si>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</si>
  <si>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</si>
  <si>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</si>
  <si>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</si>
  <si>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</si>
  <si>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</si>
  <si>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</si>
  <si>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</si>
  <si>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</si>
  <si>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</si>
  <si>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</si>
  <si>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</si>
  <si>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</si>
  <si>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</si>
  <si>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</si>
  <si>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</si>
  <si>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</si>
  <si>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</si>
  <si>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</si>
  <si>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</si>
  <si>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</si>
  <si>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</si>
  <si>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</si>
  <si>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</si>
  <si>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</si>
  <si>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</si>
  <si>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</si>
  <si>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</si>
  <si>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</si>
  <si>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</si>
  <si>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</si>
  <si>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</si>
  <si>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</si>
  <si>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</si>
  <si>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</si>
  <si>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</si>
  <si>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</si>
  <si>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</si>
  <si>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</si>
  <si>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</si>
  <si>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</si>
  <si>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</si>
  <si>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</si>
  <si>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</si>
  <si>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</si>
  <si>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</si>
  <si>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</si>
  <si>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</si>
  <si>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</si>
  <si>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</si>
  <si>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</si>
  <si>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</si>
  <si>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</si>
  <si>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</si>
  <si>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</si>
  <si>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</si>
  <si>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</si>
  <si>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</si>
  <si>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</si>
  <si>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</si>
  <si>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</si>
  <si>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</si>
  <si>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</si>
  <si>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</si>
  <si>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</si>
  <si>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</si>
  <si>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</si>
  <si>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</si>
  <si>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</si>
  <si>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</si>
  <si>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</si>
  <si>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</si>
  <si>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</si>
  <si>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</si>
  <si>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</si>
  <si>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</si>
  <si>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</si>
  <si>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</si>
  <si>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</si>
  <si>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</si>
  <si>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</si>
  <si>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</si>
  <si>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</si>
  <si>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</si>
  <si>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</si>
  <si>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</si>
  <si>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</si>
  <si>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</si>
  <si>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</si>
  <si>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</si>
  <si>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</si>
  <si>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</si>
  <si>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</si>
  <si>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</si>
  <si>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</si>
  <si>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</si>
  <si>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</si>
  <si>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</si>
  <si>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</si>
  <si>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</si>
  <si>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</si>
  <si>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</si>
  <si>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</si>
  <si>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</si>
  <si>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</si>
  <si>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</si>
  <si>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</si>
  <si>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</si>
  <si>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</si>
  <si>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</si>
  <si>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</si>
  <si>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</si>
  <si>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</si>
  <si>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</si>
  <si>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</si>
  <si>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</si>
  <si>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</si>
  <si>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</si>
  <si>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</si>
  <si>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</si>
  <si>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</si>
  <si>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</si>
  <si>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</si>
  <si>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</si>
  <si>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</si>
  <si>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</si>
  <si>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</si>
  <si>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</si>
  <si>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</si>
  <si>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</si>
  <si>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</si>
  <si>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</si>
  <si>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</si>
  <si>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</si>
  <si>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</si>
  <si>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</si>
  <si>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</si>
  <si>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</si>
  <si>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</si>
  <si>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</si>
  <si>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</si>
  <si>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</si>
  <si>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</si>
  <si>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</si>
  <si>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</si>
  <si>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</si>
  <si>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</si>
  <si>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</si>
  <si>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</si>
  <si>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</si>
  <si>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</si>
  <si>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</si>
  <si>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</si>
  <si>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</si>
  <si>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</si>
  <si>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</si>
  <si>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</si>
  <si>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</si>
  <si>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</si>
  <si>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</si>
  <si>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</si>
  <si>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</si>
  <si>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</si>
  <si>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</si>
  <si>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</si>
  <si>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</si>
  <si>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</si>
  <si>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</si>
  <si>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</si>
  <si>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</si>
  <si>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</si>
  <si>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</si>
  <si>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</si>
  <si>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</si>
  <si>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</si>
  <si>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</si>
  <si>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</si>
  <si>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</si>
  <si>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</si>
  <si>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</si>
  <si>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</si>
  <si>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</si>
  <si>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</si>
  <si>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</si>
  <si>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</si>
  <si>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</si>
  <si>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</si>
  <si>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</si>
  <si>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</si>
  <si>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</si>
  <si>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</si>
  <si>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</si>
  <si>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</si>
  <si>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</si>
  <si>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</si>
  <si>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</si>
  <si>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</si>
  <si>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</si>
  <si>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</si>
  <si>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</si>
  <si>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</si>
  <si>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</si>
  <si>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</si>
  <si>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</si>
  <si>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</si>
  <si>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</si>
  <si>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</si>
  <si>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</si>
  <si>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</si>
  <si>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</si>
  <si>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</si>
  <si>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</si>
  <si>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</si>
  <si>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</si>
  <si>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</si>
  <si>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</si>
  <si>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</si>
  <si>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</si>
  <si>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</si>
  <si>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</si>
  <si>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</si>
  <si>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</si>
  <si>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</si>
  <si>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</si>
  <si>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</si>
  <si>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</si>
  <si>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</si>
  <si>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</si>
  <si>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</si>
  <si>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</si>
  <si>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</si>
  <si>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</si>
  <si>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</si>
  <si>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</si>
  <si>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</si>
  <si>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</si>
  <si>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</si>
  <si>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</si>
  <si>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</si>
  <si>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</si>
  <si>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</si>
  <si>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</si>
  <si>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</si>
  <si>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</si>
  <si>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</si>
  <si>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</si>
  <si>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</si>
  <si>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</si>
  <si>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</si>
  <si>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</si>
  <si>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</si>
  <si>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</si>
  <si>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</si>
  <si>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</si>
  <si>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</si>
  <si>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</si>
  <si>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</si>
  <si>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</si>
  <si>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</si>
  <si>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</si>
  <si>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</si>
  <si>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</si>
  <si>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</si>
  <si>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</si>
  <si>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</si>
  <si>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</si>
  <si>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</si>
  <si>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</si>
  <si>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</si>
  <si>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</si>
  <si>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</si>
  <si>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</si>
  <si>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</si>
  <si>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</si>
  <si>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38025</t>
  </si>
  <si>
    <t>VEURNE</t>
  </si>
  <si>
    <t>Eandis (januari 2018); Infrax (juni 2018)</t>
  </si>
  <si>
    <t>MOW (september 2017)</t>
  </si>
  <si>
    <t>referentietaak LNE (2017); Jaarverslag De Lijn (2016)</t>
  </si>
  <si>
    <t>VEA (april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</si>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</sst>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87991.184253737403</c:v>
                </c:pt>
                <c:pt idx="1">
                  <c:v>62811.533277596551</c:v>
                </c:pt>
                <c:pt idx="2">
                  <c:v>925.74300000000005</c:v>
                </c:pt>
                <c:pt idx="3">
                  <c:v>30496.654864972035</c:v>
                </c:pt>
                <c:pt idx="4">
                  <c:v>241659.92201674933</c:v>
                </c:pt>
                <c:pt idx="5">
                  <c:v>194685.71637314078</c:v>
                </c:pt>
                <c:pt idx="6">
                  <c:v>1180.1521991322261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87991.184253737403</c:v>
                </c:pt>
                <c:pt idx="1">
                  <c:v>62811.533277596551</c:v>
                </c:pt>
                <c:pt idx="2">
                  <c:v>925.74300000000005</c:v>
                </c:pt>
                <c:pt idx="3">
                  <c:v>30496.654864972035</c:v>
                </c:pt>
                <c:pt idx="4">
                  <c:v>241659.92201674933</c:v>
                </c:pt>
                <c:pt idx="5">
                  <c:v>194685.71637314078</c:v>
                </c:pt>
                <c:pt idx="6">
                  <c:v>1180.1521991322261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14982.90392075423</c:v>
                </c:pt>
                <c:pt idx="2">
                  <c:v>12589.686727417191</c:v>
                </c:pt>
                <c:pt idx="3">
                  <c:v>183.87865274952694</c:v>
                </c:pt>
                <c:pt idx="4">
                  <c:v>7806.0627662760826</c:v>
                </c:pt>
                <c:pt idx="5">
                  <c:v>47512.128554040035</c:v>
                </c:pt>
                <c:pt idx="6">
                  <c:v>48856.369481119604</c:v>
                </c:pt>
                <c:pt idx="7">
                  <c:v>298.16611794607059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14982.90392075423</c:v>
                </c:pt>
                <c:pt idx="2">
                  <c:v>12589.686727417191</c:v>
                </c:pt>
                <c:pt idx="3">
                  <c:v>183.87865274952694</c:v>
                </c:pt>
                <c:pt idx="4">
                  <c:v>7806.0627662760826</c:v>
                </c:pt>
                <c:pt idx="5">
                  <c:v>47512.128554040035</c:v>
                </c:pt>
                <c:pt idx="6">
                  <c:v>48856.369481119604</c:v>
                </c:pt>
                <c:pt idx="7">
                  <c:v>298.16611794607059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0.19862818595390613</v>
      </c>
      <c r="C17" s="524">
        <f ca="1">'EF ele_warmte'!B22</f>
        <v>0.22998102466793169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0.19862818595390613</v>
      </c>
      <c r="C29" s="525">
        <f ca="1">'EF ele_warmte'!B22</f>
        <v>0.22998102466793169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5091</v>
      </c>
      <c r="C9" s="342">
        <v>4863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8100.1</v>
      </c>
    </row>
    <row r="15" spans="1:6">
      <c r="A15" s="348" t="s">
        <v>184</v>
      </c>
      <c r="B15" s="334">
        <v>1091</v>
      </c>
    </row>
    <row r="16" spans="1:6">
      <c r="A16" s="348" t="s">
        <v>6</v>
      </c>
      <c r="B16" s="334">
        <v>2386</v>
      </c>
    </row>
    <row r="17" spans="1:6">
      <c r="A17" s="348" t="s">
        <v>7</v>
      </c>
      <c r="B17" s="334">
        <v>2132</v>
      </c>
    </row>
    <row r="18" spans="1:6">
      <c r="A18" s="348" t="s">
        <v>8</v>
      </c>
      <c r="B18" s="334">
        <v>3024</v>
      </c>
    </row>
    <row r="19" spans="1:6">
      <c r="A19" s="348" t="s">
        <v>9</v>
      </c>
      <c r="B19" s="334">
        <v>2870</v>
      </c>
    </row>
    <row r="20" spans="1:6">
      <c r="A20" s="348" t="s">
        <v>10</v>
      </c>
      <c r="B20" s="334">
        <v>1258</v>
      </c>
    </row>
    <row r="21" spans="1:6">
      <c r="A21" s="348" t="s">
        <v>11</v>
      </c>
      <c r="B21" s="334">
        <v>21678</v>
      </c>
    </row>
    <row r="22" spans="1:6">
      <c r="A22" s="348" t="s">
        <v>12</v>
      </c>
      <c r="B22" s="334">
        <v>48400</v>
      </c>
    </row>
    <row r="23" spans="1:6">
      <c r="A23" s="348" t="s">
        <v>13</v>
      </c>
      <c r="B23" s="334">
        <v>789</v>
      </c>
    </row>
    <row r="24" spans="1:6">
      <c r="A24" s="348" t="s">
        <v>14</v>
      </c>
      <c r="B24" s="334">
        <v>49</v>
      </c>
    </row>
    <row r="25" spans="1:6">
      <c r="A25" s="348" t="s">
        <v>15</v>
      </c>
      <c r="B25" s="334">
        <v>5444</v>
      </c>
    </row>
    <row r="26" spans="1:6">
      <c r="A26" s="348" t="s">
        <v>16</v>
      </c>
      <c r="B26" s="334">
        <v>576</v>
      </c>
    </row>
    <row r="27" spans="1:6">
      <c r="A27" s="348" t="s">
        <v>17</v>
      </c>
      <c r="B27" s="334">
        <v>17</v>
      </c>
    </row>
    <row r="28" spans="1:6" s="356" customFormat="1">
      <c r="A28" s="355" t="s">
        <v>18</v>
      </c>
      <c r="B28" s="355">
        <v>804993</v>
      </c>
    </row>
    <row r="29" spans="1:6">
      <c r="A29" s="355" t="s">
        <v>744</v>
      </c>
      <c r="B29" s="355">
        <v>113</v>
      </c>
      <c r="C29" s="356"/>
      <c r="D29" s="356"/>
      <c r="E29" s="356"/>
      <c r="F29" s="356"/>
    </row>
    <row r="30" spans="1:6">
      <c r="A30" s="341" t="s">
        <v>745</v>
      </c>
      <c r="B30" s="341">
        <v>83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15827.233624701699</v>
      </c>
    </row>
    <row r="37" spans="1:6">
      <c r="A37" s="348" t="s">
        <v>25</v>
      </c>
      <c r="B37" s="348" t="s">
        <v>28</v>
      </c>
      <c r="C37" s="334">
        <v>0</v>
      </c>
      <c r="D37" s="334">
        <v>0</v>
      </c>
      <c r="E37" s="334">
        <v>0</v>
      </c>
      <c r="F37" s="334">
        <v>0</v>
      </c>
    </row>
    <row r="38" spans="1:6">
      <c r="A38" s="348" t="s">
        <v>25</v>
      </c>
      <c r="B38" s="348" t="s">
        <v>29</v>
      </c>
      <c r="C38" s="334">
        <v>3</v>
      </c>
      <c r="D38" s="334">
        <v>472802.59619556298</v>
      </c>
      <c r="E38" s="334">
        <v>2</v>
      </c>
      <c r="F38" s="334">
        <v>161690.52540350999</v>
      </c>
    </row>
    <row r="39" spans="1:6">
      <c r="A39" s="348" t="s">
        <v>30</v>
      </c>
      <c r="B39" s="348" t="s">
        <v>31</v>
      </c>
      <c r="C39" s="334">
        <v>3765</v>
      </c>
      <c r="D39" s="334">
        <v>53158247.7946181</v>
      </c>
      <c r="E39" s="334">
        <v>4880</v>
      </c>
      <c r="F39" s="334">
        <v>16225319.4451153</v>
      </c>
    </row>
    <row r="40" spans="1:6">
      <c r="A40" s="348" t="s">
        <v>30</v>
      </c>
      <c r="B40" s="348" t="s">
        <v>29</v>
      </c>
      <c r="C40" s="334">
        <v>0</v>
      </c>
      <c r="D40" s="334">
        <v>0</v>
      </c>
      <c r="E40" s="334">
        <v>0</v>
      </c>
      <c r="F40" s="334">
        <v>0</v>
      </c>
    </row>
    <row r="41" spans="1:6">
      <c r="A41" s="348" t="s">
        <v>32</v>
      </c>
      <c r="B41" s="348" t="s">
        <v>33</v>
      </c>
      <c r="C41" s="334">
        <v>76</v>
      </c>
      <c r="D41" s="334">
        <v>1789988.5454577999</v>
      </c>
      <c r="E41" s="334">
        <v>147</v>
      </c>
      <c r="F41" s="334">
        <v>7681276.3598389002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640512.41861781303</v>
      </c>
      <c r="E44" s="334">
        <v>25</v>
      </c>
      <c r="F44" s="334">
        <v>836875.000583902</v>
      </c>
    </row>
    <row r="45" spans="1:6">
      <c r="A45" s="348" t="s">
        <v>32</v>
      </c>
      <c r="B45" s="348" t="s">
        <v>37</v>
      </c>
      <c r="C45" s="334">
        <v>0</v>
      </c>
      <c r="D45" s="334">
        <v>0</v>
      </c>
      <c r="E45" s="334">
        <v>3</v>
      </c>
      <c r="F45" s="334">
        <v>74146.004493588101</v>
      </c>
    </row>
    <row r="46" spans="1:6">
      <c r="A46" s="348" t="s">
        <v>32</v>
      </c>
      <c r="B46" s="348" t="s">
        <v>38</v>
      </c>
      <c r="C46" s="334">
        <v>0</v>
      </c>
      <c r="D46" s="334">
        <v>0</v>
      </c>
      <c r="E46" s="334">
        <v>0</v>
      </c>
      <c r="F46" s="334">
        <v>0</v>
      </c>
    </row>
    <row r="47" spans="1:6">
      <c r="A47" s="348" t="s">
        <v>32</v>
      </c>
      <c r="B47" s="348" t="s">
        <v>39</v>
      </c>
      <c r="C47" s="334">
        <v>3</v>
      </c>
      <c r="D47" s="334">
        <v>158304.104926656</v>
      </c>
      <c r="E47" s="334">
        <v>6</v>
      </c>
      <c r="F47" s="334">
        <v>215101.54169732399</v>
      </c>
    </row>
    <row r="48" spans="1:6">
      <c r="A48" s="348" t="s">
        <v>32</v>
      </c>
      <c r="B48" s="348" t="s">
        <v>29</v>
      </c>
      <c r="C48" s="334">
        <v>42</v>
      </c>
      <c r="D48" s="334">
        <v>172870586.71854299</v>
      </c>
      <c r="E48" s="334">
        <v>42</v>
      </c>
      <c r="F48" s="334">
        <v>24004759.6471963</v>
      </c>
    </row>
    <row r="49" spans="1:6">
      <c r="A49" s="348" t="s">
        <v>32</v>
      </c>
      <c r="B49" s="348" t="s">
        <v>40</v>
      </c>
      <c r="C49" s="334">
        <v>0</v>
      </c>
      <c r="D49" s="334">
        <v>0</v>
      </c>
      <c r="E49" s="334">
        <v>0</v>
      </c>
      <c r="F49" s="334">
        <v>0</v>
      </c>
    </row>
    <row r="50" spans="1:6">
      <c r="A50" s="348" t="s">
        <v>32</v>
      </c>
      <c r="B50" s="348" t="s">
        <v>41</v>
      </c>
      <c r="C50" s="334">
        <v>16</v>
      </c>
      <c r="D50" s="334">
        <v>3421948.2989485799</v>
      </c>
      <c r="E50" s="334">
        <v>35</v>
      </c>
      <c r="F50" s="334">
        <v>21342365.321957301</v>
      </c>
    </row>
    <row r="51" spans="1:6">
      <c r="A51" s="348" t="s">
        <v>42</v>
      </c>
      <c r="B51" s="348" t="s">
        <v>43</v>
      </c>
      <c r="C51" s="334">
        <v>8</v>
      </c>
      <c r="D51" s="334">
        <v>123530.461445685</v>
      </c>
      <c r="E51" s="334">
        <v>205</v>
      </c>
      <c r="F51" s="334">
        <v>5551235.3064900804</v>
      </c>
    </row>
    <row r="52" spans="1:6">
      <c r="A52" s="348" t="s">
        <v>42</v>
      </c>
      <c r="B52" s="348" t="s">
        <v>29</v>
      </c>
      <c r="C52" s="334">
        <v>4</v>
      </c>
      <c r="D52" s="334">
        <v>74639.501136305305</v>
      </c>
      <c r="E52" s="334">
        <v>8</v>
      </c>
      <c r="F52" s="334">
        <v>114366.92379990099</v>
      </c>
    </row>
    <row r="53" spans="1:6">
      <c r="A53" s="348" t="s">
        <v>44</v>
      </c>
      <c r="B53" s="348" t="s">
        <v>45</v>
      </c>
      <c r="C53" s="334">
        <v>164</v>
      </c>
      <c r="D53" s="334">
        <v>2679613.2543180301</v>
      </c>
      <c r="E53" s="334">
        <v>310</v>
      </c>
      <c r="F53" s="334">
        <v>1511715.6850885199</v>
      </c>
    </row>
    <row r="54" spans="1:6">
      <c r="A54" s="348" t="s">
        <v>46</v>
      </c>
      <c r="B54" s="348" t="s">
        <v>47</v>
      </c>
      <c r="C54" s="334">
        <v>0</v>
      </c>
      <c r="D54" s="334">
        <v>0</v>
      </c>
      <c r="E54" s="334">
        <v>1</v>
      </c>
      <c r="F54" s="334">
        <v>925743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1672489.11197873</v>
      </c>
      <c r="E57" s="334">
        <v>80</v>
      </c>
      <c r="F57" s="334">
        <v>1033815.28717916</v>
      </c>
    </row>
    <row r="58" spans="1:6">
      <c r="A58" s="348" t="s">
        <v>49</v>
      </c>
      <c r="B58" s="348" t="s">
        <v>51</v>
      </c>
      <c r="C58" s="334">
        <v>37</v>
      </c>
      <c r="D58" s="334">
        <v>3276073.10432328</v>
      </c>
      <c r="E58" s="334">
        <v>30</v>
      </c>
      <c r="F58" s="334">
        <v>1675737.5062708501</v>
      </c>
    </row>
    <row r="59" spans="1:6">
      <c r="A59" s="348" t="s">
        <v>49</v>
      </c>
      <c r="B59" s="348" t="s">
        <v>52</v>
      </c>
      <c r="C59" s="334">
        <v>146</v>
      </c>
      <c r="D59" s="334">
        <v>8003183.0404467499</v>
      </c>
      <c r="E59" s="334">
        <v>223</v>
      </c>
      <c r="F59" s="334">
        <v>7669299.9093059599</v>
      </c>
    </row>
    <row r="60" spans="1:6">
      <c r="A60" s="348" t="s">
        <v>49</v>
      </c>
      <c r="B60" s="348" t="s">
        <v>53</v>
      </c>
      <c r="C60" s="334">
        <v>77</v>
      </c>
      <c r="D60" s="334">
        <v>3526197.82680539</v>
      </c>
      <c r="E60" s="334">
        <v>100</v>
      </c>
      <c r="F60" s="334">
        <v>2342812.6649662601</v>
      </c>
    </row>
    <row r="61" spans="1:6">
      <c r="A61" s="348" t="s">
        <v>49</v>
      </c>
      <c r="B61" s="348" t="s">
        <v>54</v>
      </c>
      <c r="C61" s="334">
        <v>135</v>
      </c>
      <c r="D61" s="334">
        <v>6096530.5260106102</v>
      </c>
      <c r="E61" s="334">
        <v>379</v>
      </c>
      <c r="F61" s="334">
        <v>3835696.6162165101</v>
      </c>
    </row>
    <row r="62" spans="1:6">
      <c r="A62" s="348" t="s">
        <v>49</v>
      </c>
      <c r="B62" s="348" t="s">
        <v>55</v>
      </c>
      <c r="C62" s="334">
        <v>18</v>
      </c>
      <c r="D62" s="334">
        <v>2313223.13737548</v>
      </c>
      <c r="E62" s="334">
        <v>19</v>
      </c>
      <c r="F62" s="334">
        <v>759532.70381308196</v>
      </c>
    </row>
    <row r="63" spans="1:6">
      <c r="A63" s="348" t="s">
        <v>49</v>
      </c>
      <c r="B63" s="348" t="s">
        <v>29</v>
      </c>
      <c r="C63" s="334">
        <v>80</v>
      </c>
      <c r="D63" s="334">
        <v>9524343.7624768205</v>
      </c>
      <c r="E63" s="334">
        <v>89</v>
      </c>
      <c r="F63" s="334">
        <v>8359910.2141507203</v>
      </c>
    </row>
    <row r="64" spans="1:6">
      <c r="A64" s="348" t="s">
        <v>56</v>
      </c>
      <c r="B64" s="348" t="s">
        <v>57</v>
      </c>
      <c r="C64" s="334">
        <v>0</v>
      </c>
      <c r="D64" s="334">
        <v>0</v>
      </c>
      <c r="E64" s="334">
        <v>0</v>
      </c>
      <c r="F64" s="334">
        <v>0</v>
      </c>
    </row>
    <row r="65" spans="1:6">
      <c r="A65" s="348" t="s">
        <v>56</v>
      </c>
      <c r="B65" s="348" t="s">
        <v>29</v>
      </c>
      <c r="C65" s="334">
        <v>4</v>
      </c>
      <c r="D65" s="334">
        <v>656048.29294818302</v>
      </c>
      <c r="E65" s="334">
        <v>3</v>
      </c>
      <c r="F65" s="334">
        <v>38584.620973057798</v>
      </c>
    </row>
    <row r="66" spans="1:6">
      <c r="A66" s="348" t="s">
        <v>56</v>
      </c>
      <c r="B66" s="348" t="s">
        <v>58</v>
      </c>
      <c r="C66" s="334">
        <v>0</v>
      </c>
      <c r="D66" s="334">
        <v>0</v>
      </c>
      <c r="E66" s="334">
        <v>20</v>
      </c>
      <c r="F66" s="334">
        <v>516880.40893298498</v>
      </c>
    </row>
    <row r="67" spans="1:6">
      <c r="A67" s="355" t="s">
        <v>56</v>
      </c>
      <c r="B67" s="355" t="s">
        <v>59</v>
      </c>
      <c r="C67" s="334">
        <v>0</v>
      </c>
      <c r="D67" s="334">
        <v>0</v>
      </c>
      <c r="E67" s="334">
        <v>0</v>
      </c>
      <c r="F67" s="334">
        <v>0</v>
      </c>
    </row>
    <row r="68" spans="1:6">
      <c r="A68" s="341" t="s">
        <v>56</v>
      </c>
      <c r="B68" s="341" t="s">
        <v>60</v>
      </c>
      <c r="C68" s="334">
        <v>0</v>
      </c>
      <c r="D68" s="334">
        <v>0</v>
      </c>
      <c r="E68" s="334">
        <v>8</v>
      </c>
      <c r="F68" s="334">
        <v>301909.49261774699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63569452</v>
      </c>
      <c r="E73" s="475">
        <v>73220889.765082404</v>
      </c>
    </row>
    <row r="74" spans="1:6">
      <c r="A74" s="348" t="s">
        <v>64</v>
      </c>
      <c r="B74" s="348" t="s">
        <v>657</v>
      </c>
      <c r="C74" s="1295" t="s">
        <v>659</v>
      </c>
      <c r="D74" s="475">
        <v>7463438.5</v>
      </c>
      <c r="E74" s="475">
        <v>7330380.7005077014</v>
      </c>
    </row>
    <row r="75" spans="1:6">
      <c r="A75" s="348" t="s">
        <v>65</v>
      </c>
      <c r="B75" s="348" t="s">
        <v>656</v>
      </c>
      <c r="C75" s="1295" t="s">
        <v>660</v>
      </c>
      <c r="D75" s="475">
        <v>15763292</v>
      </c>
      <c r="E75" s="475">
        <v>16954827.123776481</v>
      </c>
    </row>
    <row r="76" spans="1:6">
      <c r="A76" s="348" t="s">
        <v>65</v>
      </c>
      <c r="B76" s="348" t="s">
        <v>657</v>
      </c>
      <c r="C76" s="1295" t="s">
        <v>661</v>
      </c>
      <c r="D76" s="475">
        <v>2368829.5</v>
      </c>
      <c r="E76" s="475">
        <v>2095326.5470971304</v>
      </c>
    </row>
    <row r="77" spans="1:6">
      <c r="A77" s="348" t="s">
        <v>66</v>
      </c>
      <c r="B77" s="348" t="s">
        <v>656</v>
      </c>
      <c r="C77" s="1295" t="s">
        <v>662</v>
      </c>
      <c r="D77" s="475">
        <v>66882328</v>
      </c>
      <c r="E77" s="475">
        <v>69248230.138133615</v>
      </c>
    </row>
    <row r="78" spans="1:6">
      <c r="A78" s="341" t="s">
        <v>66</v>
      </c>
      <c r="B78" s="341" t="s">
        <v>657</v>
      </c>
      <c r="C78" s="341" t="s">
        <v>663</v>
      </c>
      <c r="D78" s="1296">
        <v>26451959</v>
      </c>
      <c r="E78" s="1296">
        <v>27069968.470664743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320077</v>
      </c>
      <c r="C83" s="475">
        <v>319809.23211344297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2922.7500622000566</v>
      </c>
    </row>
    <row r="92" spans="1:6">
      <c r="A92" s="341" t="s">
        <v>69</v>
      </c>
      <c r="B92" s="342">
        <v>8110.5725125274657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19</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7</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108449.48069416788</v>
      </c>
      <c r="C3" s="43" t="s">
        <v>170</v>
      </c>
      <c r="D3" s="43"/>
      <c r="E3" s="154"/>
      <c r="F3" s="43"/>
      <c r="G3" s="43"/>
      <c r="H3" s="43"/>
      <c r="I3" s="43"/>
      <c r="J3" s="43"/>
      <c r="K3" s="96"/>
    </row>
    <row r="4" spans="1:11">
      <c r="A4" s="383" t="s">
        <v>171</v>
      </c>
      <c r="B4" s="49">
        <f>IF(ISERROR('SEAP template'!B78+'SEAP template'!C78),0,'SEAP template'!B78+'SEAP template'!C78)</f>
        <v>12386.472574727522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311.19882352941175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0.19862818595390613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444.56974789915967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925.74300000000005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925.74300000000005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0.19862818595390613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183.87865274952694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16225.319445115299</v>
      </c>
      <c r="C5" s="17">
        <f>IF(ISERROR('Eigen informatie GS &amp; warmtenet'!B57),0,'Eigen informatie GS &amp; warmtenet'!B57)</f>
        <v>0</v>
      </c>
      <c r="D5" s="30">
        <f>(SUM(HH_hh_gas_kWh,HH_rest_gas_kWh)/1000)*0.902</f>
        <v>47948.73951074553</v>
      </c>
      <c r="E5" s="17">
        <f>B46*B57</f>
        <v>6581.1111402038678</v>
      </c>
      <c r="F5" s="17">
        <f>B51*B62</f>
        <v>0</v>
      </c>
      <c r="G5" s="18"/>
      <c r="H5" s="17"/>
      <c r="I5" s="17"/>
      <c r="J5" s="17">
        <f>B50*B61+C50*C61</f>
        <v>0</v>
      </c>
      <c r="K5" s="17"/>
      <c r="L5" s="17"/>
      <c r="M5" s="17"/>
      <c r="N5" s="17">
        <f>B48*B59+C48*C59</f>
        <v>13520.467428805987</v>
      </c>
      <c r="O5" s="17">
        <f>B69*B70*B71</f>
        <v>392.3966666666667</v>
      </c>
      <c r="P5" s="17">
        <f>B77*B78*B79/1000-B77*B78*B79/1000/B80</f>
        <v>400.4</v>
      </c>
    </row>
    <row r="6" spans="1:16">
      <c r="A6" s="16" t="s">
        <v>621</v>
      </c>
      <c r="B6" s="788">
        <f>kWh_PV_kleiner_dan_10kW</f>
        <v>2922.7500622000566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19148.069507315355</v>
      </c>
      <c r="C8" s="21">
        <f>C5</f>
        <v>0</v>
      </c>
      <c r="D8" s="21">
        <f>D5</f>
        <v>47948.73951074553</v>
      </c>
      <c r="E8" s="21">
        <f>E5</f>
        <v>6581.1111402038678</v>
      </c>
      <c r="F8" s="21">
        <f>F5</f>
        <v>0</v>
      </c>
      <c r="G8" s="21"/>
      <c r="H8" s="21"/>
      <c r="I8" s="21"/>
      <c r="J8" s="21">
        <f>J5</f>
        <v>0</v>
      </c>
      <c r="K8" s="21"/>
      <c r="L8" s="21">
        <f>L5</f>
        <v>0</v>
      </c>
      <c r="M8" s="21">
        <f>M5</f>
        <v>0</v>
      </c>
      <c r="N8" s="21">
        <f>N5</f>
        <v>13520.467428805987</v>
      </c>
      <c r="O8" s="21">
        <f>O5</f>
        <v>392.3966666666667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0.19862818595390613</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3803.3463107573539</v>
      </c>
      <c r="C12" s="23">
        <f ca="1">C10*C8</f>
        <v>0</v>
      </c>
      <c r="D12" s="23">
        <f>D8*D10</f>
        <v>9685.6453811705978</v>
      </c>
      <c r="E12" s="23">
        <f>E10*E8</f>
        <v>1493.9122288262781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5091</v>
      </c>
      <c r="C28" s="36"/>
      <c r="D28" s="228"/>
    </row>
    <row r="29" spans="1:7" s="15" customFormat="1">
      <c r="A29" s="230" t="s">
        <v>794</v>
      </c>
      <c r="B29" s="37">
        <f>SUM(HH_hh_gas_aantal,HH_rest_gas_aantal)</f>
        <v>3765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3765</v>
      </c>
      <c r="C32" s="167">
        <f>IF(ISERROR(B32/SUM($B$32,$B$34,$B$35,$B$36,$B$38,$B$39)*100),0,B32/SUM($B$32,$B$34,$B$35,$B$36,$B$38,$B$39)*100)</f>
        <v>74.260355029585796</v>
      </c>
      <c r="D32" s="233"/>
      <c r="G32" s="15"/>
    </row>
    <row r="33" spans="1:7">
      <c r="A33" s="171" t="s">
        <v>72</v>
      </c>
      <c r="B33" s="34" t="s">
        <v>111</v>
      </c>
      <c r="C33" s="167"/>
      <c r="D33" s="233"/>
      <c r="G33" s="15"/>
    </row>
    <row r="34" spans="1:7">
      <c r="A34" s="171" t="s">
        <v>73</v>
      </c>
      <c r="B34" s="33">
        <f>IF((($B$28-$B$32-$B$39-$B$77-$B$38)*C20/100)&lt;0,0,($B$28-$B$32-$B$39-$B$77-$B$38)*C20/100)</f>
        <v>310.81925675675677</v>
      </c>
      <c r="C34" s="167">
        <f>IF(ISERROR(B34/SUM($B$32,$B$34,$B$35,$B$36,$B$38,$B$39)*100),0,B34/SUM($B$32,$B$34,$B$35,$B$36,$B$38,$B$39)*100)</f>
        <v>6.1305573324804099</v>
      </c>
      <c r="D34" s="233"/>
      <c r="G34" s="15"/>
    </row>
    <row r="35" spans="1:7">
      <c r="A35" s="171" t="s">
        <v>74</v>
      </c>
      <c r="B35" s="33">
        <f>IF((($B$28-$B$32-$B$39-$B$77-$B$38)*C21/100)&lt;0,0,($B$28-$B$32-$B$39-$B$77-$B$38)*C21/100)</f>
        <v>806.80743243243239</v>
      </c>
      <c r="C35" s="167">
        <f>IF(ISERROR(B35/SUM($B$32,$B$34,$B$35,$B$36,$B$38,$B$39)*100),0,B35/SUM($B$32,$B$34,$B$35,$B$36,$B$38,$B$39)*100)</f>
        <v>15.91336158643851</v>
      </c>
      <c r="D35" s="233"/>
      <c r="G35" s="15"/>
    </row>
    <row r="36" spans="1:7">
      <c r="A36" s="171" t="s">
        <v>75</v>
      </c>
      <c r="B36" s="33">
        <f>IF((($B$28-$B$32-$B$39-$B$77-$B$38)*C22/100)&lt;0,0,($B$28-$B$32-$B$39-$B$77-$B$38)*C22/100)</f>
        <v>187.37331081081084</v>
      </c>
      <c r="C36" s="167">
        <f>IF(ISERROR(B36/SUM($B$32,$B$34,$B$35,$B$36,$B$38,$B$39)*100),0,B36/SUM($B$32,$B$34,$B$35,$B$36,$B$38,$B$39)*100)</f>
        <v>3.6957260514952828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3765</v>
      </c>
      <c r="C44" s="34" t="s">
        <v>111</v>
      </c>
      <c r="D44" s="174"/>
    </row>
    <row r="45" spans="1:7">
      <c r="A45" s="171" t="s">
        <v>72</v>
      </c>
      <c r="B45" s="33" t="str">
        <f t="shared" si="0"/>
        <v>-</v>
      </c>
      <c r="C45" s="34" t="s">
        <v>111</v>
      </c>
      <c r="D45" s="174"/>
    </row>
    <row r="46" spans="1:7">
      <c r="A46" s="171" t="s">
        <v>73</v>
      </c>
      <c r="B46" s="33">
        <f t="shared" si="0"/>
        <v>310.81925675675677</v>
      </c>
      <c r="C46" s="34" t="s">
        <v>111</v>
      </c>
      <c r="D46" s="174"/>
    </row>
    <row r="47" spans="1:7">
      <c r="A47" s="171" t="s">
        <v>74</v>
      </c>
      <c r="B47" s="33">
        <f t="shared" si="0"/>
        <v>806.80743243243239</v>
      </c>
      <c r="C47" s="34" t="s">
        <v>111</v>
      </c>
      <c r="D47" s="174"/>
    </row>
    <row r="48" spans="1:7">
      <c r="A48" s="171" t="s">
        <v>75</v>
      </c>
      <c r="B48" s="33">
        <f t="shared" si="0"/>
        <v>187.37331081081084</v>
      </c>
      <c r="C48" s="33">
        <f>B48*10</f>
        <v>1873.7331081081084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25676.804901902542</v>
      </c>
      <c r="C5" s="17">
        <f>IF(ISERROR('Eigen informatie GS &amp; warmtenet'!B58),0,'Eigen informatie GS &amp; warmtenet'!B58)</f>
        <v>0</v>
      </c>
      <c r="D5" s="30">
        <f>SUM(D6:D12)</f>
        <v>31039.660539494191</v>
      </c>
      <c r="E5" s="17">
        <f>SUM(E6:E12)</f>
        <v>428.34782131664394</v>
      </c>
      <c r="F5" s="17">
        <f>SUM(F6:F12)</f>
        <v>4448.4053475900573</v>
      </c>
      <c r="G5" s="18"/>
      <c r="H5" s="17"/>
      <c r="I5" s="17"/>
      <c r="J5" s="17">
        <f>SUM(J6:J12)</f>
        <v>4.2683810999221417E-2</v>
      </c>
      <c r="K5" s="17"/>
      <c r="L5" s="17"/>
      <c r="M5" s="17"/>
      <c r="N5" s="17">
        <f>SUM(N6:N12)</f>
        <v>1730.4096025297349</v>
      </c>
      <c r="O5" s="17">
        <f>B38*B39*B40</f>
        <v>10.943333333333335</v>
      </c>
      <c r="P5" s="17">
        <f>B46*B47*B48/1000-B46*B47*B48/1000/B49</f>
        <v>38.133333333333333</v>
      </c>
      <c r="R5" s="32"/>
    </row>
    <row r="6" spans="1:18">
      <c r="A6" s="32" t="s">
        <v>54</v>
      </c>
      <c r="B6" s="37">
        <f>B26</f>
        <v>3835.6966162165099</v>
      </c>
      <c r="C6" s="33"/>
      <c r="D6" s="37">
        <f>IF(ISERROR(TER_kantoor_gas_kWh/1000),0,TER_kantoor_gas_kWh/1000)*0.902</f>
        <v>5499.0705344615699</v>
      </c>
      <c r="E6" s="33">
        <f>$C$26*'E Balans VL '!I12/100/3.6*1000000</f>
        <v>2.4040870657736687E-2</v>
      </c>
      <c r="F6" s="33">
        <f>$C$26*('E Balans VL '!L12+'E Balans VL '!N12)/100/3.6*1000000</f>
        <v>576.39802183176414</v>
      </c>
      <c r="G6" s="34"/>
      <c r="H6" s="33"/>
      <c r="I6" s="33"/>
      <c r="J6" s="33">
        <f>$C$26*('E Balans VL '!D12+'E Balans VL '!E12)/100/3.6*1000000</f>
        <v>0</v>
      </c>
      <c r="K6" s="33"/>
      <c r="L6" s="33"/>
      <c r="M6" s="33"/>
      <c r="N6" s="33">
        <f>$C$26*'E Balans VL '!Y12/100/3.6*1000000</f>
        <v>3.6682751089757444</v>
      </c>
      <c r="O6" s="33"/>
      <c r="P6" s="33"/>
      <c r="R6" s="32"/>
    </row>
    <row r="7" spans="1:18">
      <c r="A7" s="32" t="s">
        <v>53</v>
      </c>
      <c r="B7" s="37">
        <f t="shared" ref="B7:B12" si="0">B27</f>
        <v>2342.8126649662599</v>
      </c>
      <c r="C7" s="33"/>
      <c r="D7" s="37">
        <f>IF(ISERROR(TER_horeca_gas_kWh/1000),0,TER_horeca_gas_kWh/1000)*0.902</f>
        <v>3180.630439778462</v>
      </c>
      <c r="E7" s="33">
        <f>$C$27*'E Balans VL '!I9/100/3.6*1000000</f>
        <v>33.548687124222567</v>
      </c>
      <c r="F7" s="33">
        <f>$C$27*('E Balans VL '!L9+'E Balans VL '!N9)/100/3.6*1000000</f>
        <v>296.67735232327169</v>
      </c>
      <c r="G7" s="34"/>
      <c r="H7" s="33"/>
      <c r="I7" s="33"/>
      <c r="J7" s="33">
        <f>$C$27*('E Balans VL '!D9+'E Balans VL '!E9)/100/3.6*1000000</f>
        <v>0</v>
      </c>
      <c r="K7" s="33"/>
      <c r="L7" s="33"/>
      <c r="M7" s="33"/>
      <c r="N7" s="33">
        <f>$C$27*'E Balans VL '!Y9/100/3.6*1000000</f>
        <v>0.67350698659254959</v>
      </c>
      <c r="O7" s="33"/>
      <c r="P7" s="33"/>
      <c r="R7" s="32"/>
    </row>
    <row r="8" spans="1:18">
      <c r="A8" s="6" t="s">
        <v>52</v>
      </c>
      <c r="B8" s="37">
        <f t="shared" si="0"/>
        <v>7669.2999093059598</v>
      </c>
      <c r="C8" s="33"/>
      <c r="D8" s="37">
        <f>IF(ISERROR(TER_handel_gas_kWh/1000),0,TER_handel_gas_kWh/1000)*0.902</f>
        <v>7218.871102482969</v>
      </c>
      <c r="E8" s="33">
        <f>$C$28*'E Balans VL '!I13/100/3.6*1000000</f>
        <v>278.16456197483274</v>
      </c>
      <c r="F8" s="33">
        <f>$C$28*('E Balans VL '!L13+'E Balans VL '!N13)/100/3.6*1000000</f>
        <v>1477.1848191311619</v>
      </c>
      <c r="G8" s="34"/>
      <c r="H8" s="33"/>
      <c r="I8" s="33"/>
      <c r="J8" s="33">
        <f>$C$28*('E Balans VL '!D13+'E Balans VL '!E13)/100/3.6*1000000</f>
        <v>0</v>
      </c>
      <c r="K8" s="33"/>
      <c r="L8" s="33"/>
      <c r="M8" s="33"/>
      <c r="N8" s="33">
        <f>$C$28*'E Balans VL '!Y13/100/3.6*1000000</f>
        <v>10.62374500159787</v>
      </c>
      <c r="O8" s="33"/>
      <c r="P8" s="33"/>
      <c r="R8" s="32"/>
    </row>
    <row r="9" spans="1:18">
      <c r="A9" s="32" t="s">
        <v>51</v>
      </c>
      <c r="B9" s="37">
        <f t="shared" si="0"/>
        <v>1675.7375062708502</v>
      </c>
      <c r="C9" s="33"/>
      <c r="D9" s="37">
        <f>IF(ISERROR(TER_gezond_gas_kWh/1000),0,TER_gezond_gas_kWh/1000)*0.902</f>
        <v>2955.0179400995985</v>
      </c>
      <c r="E9" s="33">
        <f>$C$29*'E Balans VL '!I10/100/3.6*1000000</f>
        <v>0.10491771281141719</v>
      </c>
      <c r="F9" s="33">
        <f>$C$29*('E Balans VL '!L10+'E Balans VL '!N10)/100/3.6*1000000</f>
        <v>248.93590869133971</v>
      </c>
      <c r="G9" s="34"/>
      <c r="H9" s="33"/>
      <c r="I9" s="33"/>
      <c r="J9" s="33">
        <f>$C$29*('E Balans VL '!D10+'E Balans VL '!E10)/100/3.6*1000000</f>
        <v>0</v>
      </c>
      <c r="K9" s="33"/>
      <c r="L9" s="33"/>
      <c r="M9" s="33"/>
      <c r="N9" s="33">
        <f>$C$29*'E Balans VL '!Y10/100/3.6*1000000</f>
        <v>25.92046944184516</v>
      </c>
      <c r="O9" s="33"/>
      <c r="P9" s="33"/>
      <c r="R9" s="32"/>
    </row>
    <row r="10" spans="1:18">
      <c r="A10" s="32" t="s">
        <v>50</v>
      </c>
      <c r="B10" s="37">
        <f t="shared" si="0"/>
        <v>1033.8152871791601</v>
      </c>
      <c r="C10" s="33"/>
      <c r="D10" s="37">
        <f>IF(ISERROR(TER_ander_gas_kWh/1000),0,TER_ander_gas_kWh/1000)*0.902</f>
        <v>1508.5851790048143</v>
      </c>
      <c r="E10" s="33">
        <f>$C$30*'E Balans VL '!I14/100/3.6*1000000</f>
        <v>1.2322708800013498</v>
      </c>
      <c r="F10" s="33">
        <f>$C$30*('E Balans VL '!L14+'E Balans VL '!N14)/100/3.6*1000000</f>
        <v>270.4920389439078</v>
      </c>
      <c r="G10" s="34"/>
      <c r="H10" s="33"/>
      <c r="I10" s="33"/>
      <c r="J10" s="33">
        <f>$C$30*('E Balans VL '!D14+'E Balans VL '!E14)/100/3.6*1000000</f>
        <v>2.244007744062974E-2</v>
      </c>
      <c r="K10" s="33"/>
      <c r="L10" s="33"/>
      <c r="M10" s="33"/>
      <c r="N10" s="33">
        <f>$C$30*'E Balans VL '!Y14/100/3.6*1000000</f>
        <v>877.89064476854765</v>
      </c>
      <c r="O10" s="33"/>
      <c r="P10" s="33"/>
      <c r="R10" s="32"/>
    </row>
    <row r="11" spans="1:18">
      <c r="A11" s="32" t="s">
        <v>55</v>
      </c>
      <c r="B11" s="37">
        <f t="shared" si="0"/>
        <v>759.53270381308198</v>
      </c>
      <c r="C11" s="33"/>
      <c r="D11" s="37">
        <f>IF(ISERROR(TER_onderwijs_gas_kWh/1000),0,TER_onderwijs_gas_kWh/1000)*0.902</f>
        <v>2086.5272699126826</v>
      </c>
      <c r="E11" s="33">
        <f>$C$31*'E Balans VL '!I11/100/3.6*1000000</f>
        <v>11.460125156792534</v>
      </c>
      <c r="F11" s="33">
        <f>$C$31*('E Balans VL '!L11+'E Balans VL '!N11)/100/3.6*1000000</f>
        <v>133.08226360397475</v>
      </c>
      <c r="G11" s="34"/>
      <c r="H11" s="33"/>
      <c r="I11" s="33"/>
      <c r="J11" s="33">
        <f>$C$31*('E Balans VL '!D11+'E Balans VL '!E11)/100/3.6*1000000</f>
        <v>0</v>
      </c>
      <c r="K11" s="33"/>
      <c r="L11" s="33"/>
      <c r="M11" s="33"/>
      <c r="N11" s="33">
        <f>$C$31*'E Balans VL '!Y11/100/3.6*1000000</f>
        <v>2.1373827704050754</v>
      </c>
      <c r="O11" s="33"/>
      <c r="P11" s="33"/>
      <c r="R11" s="32"/>
    </row>
    <row r="12" spans="1:18">
      <c r="A12" s="32" t="s">
        <v>260</v>
      </c>
      <c r="B12" s="37">
        <f t="shared" si="0"/>
        <v>8359.910214150721</v>
      </c>
      <c r="C12" s="33"/>
      <c r="D12" s="37">
        <f>IF(ISERROR(TER_rest_gas_kWh/1000),0,TER_rest_gas_kWh/1000)*0.902</f>
        <v>8590.9580737540928</v>
      </c>
      <c r="E12" s="33">
        <f>$C$32*'E Balans VL '!I8/100/3.6*1000000</f>
        <v>103.81321759732558</v>
      </c>
      <c r="F12" s="33">
        <f>$C$32*('E Balans VL '!L8+'E Balans VL '!N8)/100/3.6*1000000</f>
        <v>1445.6349430646367</v>
      </c>
      <c r="G12" s="34"/>
      <c r="H12" s="33"/>
      <c r="I12" s="33"/>
      <c r="J12" s="33">
        <f>$C$32*('E Balans VL '!D8+'E Balans VL '!E8)/100/3.6*1000000</f>
        <v>2.024373355859168E-2</v>
      </c>
      <c r="K12" s="33"/>
      <c r="L12" s="33"/>
      <c r="M12" s="33"/>
      <c r="N12" s="33">
        <f>$C$32*'E Balans VL '!Y8/100/3.6*1000000</f>
        <v>809.49557845177094</v>
      </c>
      <c r="O12" s="33"/>
      <c r="P12" s="33"/>
      <c r="R12" s="32"/>
    </row>
    <row r="13" spans="1:18">
      <c r="A13" s="16" t="s">
        <v>488</v>
      </c>
      <c r="B13" s="247">
        <f ca="1">'lokale energieproductie'!N91+'lokale energieproductie'!N60</f>
        <v>1309.5</v>
      </c>
      <c r="C13" s="247">
        <f ca="1">'lokale energieproductie'!O91+'lokale energieproductie'!O60</f>
        <v>1870.7142857142858</v>
      </c>
      <c r="D13" s="310">
        <f ca="1">('lokale energieproductie'!P60+'lokale energieproductie'!P91)*(-1)</f>
        <v>-3741.4285714285716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26986.304901902542</v>
      </c>
      <c r="C16" s="21">
        <f t="shared" ca="1" si="1"/>
        <v>1870.7142857142858</v>
      </c>
      <c r="D16" s="21">
        <f t="shared" ca="1" si="1"/>
        <v>27298.231968065618</v>
      </c>
      <c r="E16" s="21">
        <f t="shared" si="1"/>
        <v>428.34782131664394</v>
      </c>
      <c r="F16" s="21">
        <f t="shared" ca="1" si="1"/>
        <v>4448.4053475900573</v>
      </c>
      <c r="G16" s="21">
        <f t="shared" si="1"/>
        <v>0</v>
      </c>
      <c r="H16" s="21">
        <f t="shared" si="1"/>
        <v>0</v>
      </c>
      <c r="I16" s="21">
        <f t="shared" si="1"/>
        <v>0</v>
      </c>
      <c r="J16" s="21">
        <f t="shared" si="1"/>
        <v>4.2683810999221417E-2</v>
      </c>
      <c r="K16" s="21">
        <f t="shared" si="1"/>
        <v>0</v>
      </c>
      <c r="L16" s="21">
        <f t="shared" ca="1" si="1"/>
        <v>0</v>
      </c>
      <c r="M16" s="21">
        <f t="shared" si="1"/>
        <v>0</v>
      </c>
      <c r="N16" s="21">
        <f t="shared" ca="1" si="1"/>
        <v>1730.4096025297349</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0.19862818595390613</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5360.2407882639063</v>
      </c>
      <c r="C20" s="23">
        <f t="shared" ref="C20:P20" ca="1" si="2">C16*C18</f>
        <v>430.22878828950934</v>
      </c>
      <c r="D20" s="23">
        <f t="shared" ca="1" si="2"/>
        <v>5514.2428575492549</v>
      </c>
      <c r="E20" s="23">
        <f t="shared" si="2"/>
        <v>97.234955438878174</v>
      </c>
      <c r="F20" s="23">
        <f t="shared" ca="1" si="2"/>
        <v>1187.7242278065453</v>
      </c>
      <c r="G20" s="23">
        <f t="shared" si="2"/>
        <v>0</v>
      </c>
      <c r="H20" s="23">
        <f t="shared" si="2"/>
        <v>0</v>
      </c>
      <c r="I20" s="23">
        <f t="shared" si="2"/>
        <v>0</v>
      </c>
      <c r="J20" s="23">
        <f t="shared" si="2"/>
        <v>1.5110069093724381E-2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3835.6966162165099</v>
      </c>
      <c r="C26" s="39">
        <f>IF(ISERROR(B26*3.6/1000000/'E Balans VL '!Z12*100),0,B26*3.6/1000000/'E Balans VL '!Z12*100)</f>
        <v>8.1080550232568702E-2</v>
      </c>
      <c r="D26" s="237" t="s">
        <v>754</v>
      </c>
      <c r="F26" s="6"/>
    </row>
    <row r="27" spans="1:18">
      <c r="A27" s="231" t="s">
        <v>53</v>
      </c>
      <c r="B27" s="33">
        <f>IF(ISERROR(TER_horeca_ele_kWh/1000),0,TER_horeca_ele_kWh/1000)</f>
        <v>2342.8126649662599</v>
      </c>
      <c r="C27" s="39">
        <f>IF(ISERROR(B27*3.6/1000000/'E Balans VL '!Z9*100),0,B27*3.6/1000000/'E Balans VL '!Z9*100)</f>
        <v>0.18468304916843101</v>
      </c>
      <c r="D27" s="237" t="s">
        <v>754</v>
      </c>
      <c r="F27" s="6"/>
    </row>
    <row r="28" spans="1:18">
      <c r="A28" s="171" t="s">
        <v>52</v>
      </c>
      <c r="B28" s="33">
        <f>IF(ISERROR(TER_handel_ele_kWh/1000),0,TER_handel_ele_kWh/1000)</f>
        <v>7669.2999093059598</v>
      </c>
      <c r="C28" s="39">
        <f>IF(ISERROR(B28*3.6/1000000/'E Balans VL '!Z13*100),0,B28*3.6/1000000/'E Balans VL '!Z13*100)</f>
        <v>0.22259407081202479</v>
      </c>
      <c r="D28" s="237" t="s">
        <v>754</v>
      </c>
      <c r="F28" s="6"/>
    </row>
    <row r="29" spans="1:18">
      <c r="A29" s="231" t="s">
        <v>51</v>
      </c>
      <c r="B29" s="33">
        <f>IF(ISERROR(TER_gezond_ele_kWh/1000),0,TER_gezond_ele_kWh/1000)</f>
        <v>1675.7375062708502</v>
      </c>
      <c r="C29" s="39">
        <f>IF(ISERROR(B29*3.6/1000000/'E Balans VL '!Z10*100),0,B29*3.6/1000000/'E Balans VL '!Z10*100)</f>
        <v>0.1764826757464984</v>
      </c>
      <c r="D29" s="237" t="s">
        <v>754</v>
      </c>
      <c r="F29" s="6"/>
    </row>
    <row r="30" spans="1:18">
      <c r="A30" s="231" t="s">
        <v>50</v>
      </c>
      <c r="B30" s="33">
        <f>IF(ISERROR(TER_ander_ele_kWh/1000),0,TER_ander_ele_kWh/1000)</f>
        <v>1033.8152871791601</v>
      </c>
      <c r="C30" s="39">
        <f>IF(ISERROR(B30*3.6/1000000/'E Balans VL '!Z14*100),0,B30*3.6/1000000/'E Balans VL '!Z14*100)</f>
        <v>7.6254440125898271E-2</v>
      </c>
      <c r="D30" s="237" t="s">
        <v>754</v>
      </c>
      <c r="F30" s="6"/>
    </row>
    <row r="31" spans="1:18">
      <c r="A31" s="231" t="s">
        <v>55</v>
      </c>
      <c r="B31" s="33">
        <f>IF(ISERROR(TER_onderwijs_ele_kWh/1000),0,TER_onderwijs_ele_kWh/1000)</f>
        <v>759.53270381308198</v>
      </c>
      <c r="C31" s="39">
        <f>IF(ISERROR(B31*3.6/1000000/'E Balans VL '!Z11*100),0,B31*3.6/1000000/'E Balans VL '!Z11*100)</f>
        <v>0.18862754896393233</v>
      </c>
      <c r="D31" s="237" t="s">
        <v>754</v>
      </c>
    </row>
    <row r="32" spans="1:18">
      <c r="A32" s="231" t="s">
        <v>260</v>
      </c>
      <c r="B32" s="33">
        <f>IF(ISERROR(TER_rest_ele_kWh/1000),0,TER_rest_ele_kWh/1000)</f>
        <v>8359.910214150721</v>
      </c>
      <c r="C32" s="39">
        <f>IF(ISERROR(B32*3.6/1000000/'E Balans VL '!Z8*100),0,B32*3.6/1000000/'E Balans VL '!Z8*100)</f>
        <v>6.8790964409655181E-2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54154.523875767321</v>
      </c>
      <c r="C5" s="17">
        <f>IF(ISERROR('Eigen informatie GS &amp; warmtenet'!B59),0,'Eigen informatie GS &amp; warmtenet'!B59)</f>
        <v>0</v>
      </c>
      <c r="D5" s="30">
        <f>SUM(D6:D15)</f>
        <v>161350.96875801744</v>
      </c>
      <c r="E5" s="17">
        <f>SUM(E6:E15)</f>
        <v>3626.1307449050619</v>
      </c>
      <c r="F5" s="17">
        <f>SUM(F6:F15)</f>
        <v>12393.295457813347</v>
      </c>
      <c r="G5" s="18"/>
      <c r="H5" s="17"/>
      <c r="I5" s="17"/>
      <c r="J5" s="17">
        <f>SUM(J6:J15)</f>
        <v>86.091694773256705</v>
      </c>
      <c r="K5" s="17"/>
      <c r="L5" s="17"/>
      <c r="M5" s="17"/>
      <c r="N5" s="17">
        <f>SUM(N6:N15)</f>
        <v>10048.911485472894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836.87500058390197</v>
      </c>
      <c r="C8" s="33"/>
      <c r="D8" s="37">
        <f>IF( ISERROR(IND_metaal_Gas_kWH/1000),0,IND_metaal_Gas_kWH/1000)*0.902</f>
        <v>577.7422015932674</v>
      </c>
      <c r="E8" s="33">
        <f>C30*'E Balans VL '!I18/100/3.6*1000000</f>
        <v>7.6942573688068245</v>
      </c>
      <c r="F8" s="33">
        <f>C30*'E Balans VL '!L18/100/3.6*1000000+C30*'E Balans VL '!N18/100/3.6*1000000</f>
        <v>78.471012665641808</v>
      </c>
      <c r="G8" s="34"/>
      <c r="H8" s="33"/>
      <c r="I8" s="33"/>
      <c r="J8" s="40">
        <f>C30*'E Balans VL '!D18/100/3.6*1000000+C30*'E Balans VL '!E18/100/3.6*1000000</f>
        <v>0</v>
      </c>
      <c r="K8" s="33"/>
      <c r="L8" s="33"/>
      <c r="M8" s="33"/>
      <c r="N8" s="33">
        <f>C30*'E Balans VL '!Y18/100/3.6*1000000</f>
        <v>11.939404877507162</v>
      </c>
      <c r="O8" s="33"/>
      <c r="P8" s="33"/>
      <c r="R8" s="32"/>
    </row>
    <row r="9" spans="1:18">
      <c r="A9" s="6" t="s">
        <v>33</v>
      </c>
      <c r="B9" s="37">
        <f t="shared" si="0"/>
        <v>7681.2763598389001</v>
      </c>
      <c r="C9" s="33"/>
      <c r="D9" s="37">
        <f>IF( ISERROR(IND_andere_gas_kWh/1000),0,IND_andere_gas_kWh/1000)*0.902</f>
        <v>1614.5696680029357</v>
      </c>
      <c r="E9" s="33">
        <f>C31*'E Balans VL '!I19/100/3.6*1000000</f>
        <v>2245.3866167938709</v>
      </c>
      <c r="F9" s="33">
        <f>C31*'E Balans VL '!L19/100/3.6*1000000+C31*'E Balans VL '!N19/100/3.6*1000000</f>
        <v>6172.4869743267564</v>
      </c>
      <c r="G9" s="34"/>
      <c r="H9" s="33"/>
      <c r="I9" s="33"/>
      <c r="J9" s="40">
        <f>C31*'E Balans VL '!D19/100/3.6*1000000+C31*'E Balans VL '!E19/100/3.6*1000000</f>
        <v>0</v>
      </c>
      <c r="K9" s="33"/>
      <c r="L9" s="33"/>
      <c r="M9" s="33"/>
      <c r="N9" s="33">
        <f>C31*'E Balans VL '!Y19/100/3.6*1000000</f>
        <v>2538.0128374409205</v>
      </c>
      <c r="O9" s="33"/>
      <c r="P9" s="33"/>
      <c r="R9" s="32"/>
    </row>
    <row r="10" spans="1:18">
      <c r="A10" s="6" t="s">
        <v>41</v>
      </c>
      <c r="B10" s="37">
        <f t="shared" si="0"/>
        <v>21342.365321957303</v>
      </c>
      <c r="C10" s="33"/>
      <c r="D10" s="37">
        <f>IF( ISERROR(IND_voed_gas_kWh/1000),0,IND_voed_gas_kWh/1000)*0.902</f>
        <v>3086.5973656516194</v>
      </c>
      <c r="E10" s="33">
        <f>C32*'E Balans VL '!I20/100/3.6*1000000</f>
        <v>45.150104755894333</v>
      </c>
      <c r="F10" s="33">
        <f>C32*'E Balans VL '!L20/100/3.6*1000000+C32*'E Balans VL '!N20/100/3.6*1000000</f>
        <v>1356.9693877569293</v>
      </c>
      <c r="G10" s="34"/>
      <c r="H10" s="33"/>
      <c r="I10" s="33"/>
      <c r="J10" s="40">
        <f>C32*'E Balans VL '!D20/100/3.6*1000000+C32*'E Balans VL '!E20/100/3.6*1000000</f>
        <v>0</v>
      </c>
      <c r="K10" s="33"/>
      <c r="L10" s="33"/>
      <c r="M10" s="33"/>
      <c r="N10" s="33">
        <f>C32*'E Balans VL '!Y20/100/3.6*1000000</f>
        <v>1472.8338188222574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74.146004493588094</v>
      </c>
      <c r="C12" s="33"/>
      <c r="D12" s="37">
        <f>IF( ISERROR(IND_min_gas_kWh/1000),0,IND_min_gas_kWh/1000)*0.902</f>
        <v>0</v>
      </c>
      <c r="E12" s="33">
        <f>C34*'E Balans VL '!I22/100/3.6*1000000</f>
        <v>2.1491873619259563</v>
      </c>
      <c r="F12" s="33">
        <f>C34*'E Balans VL '!L22/100/3.6*1000000+C34*'E Balans VL '!N22/100/3.6*1000000</f>
        <v>25.492234213420019</v>
      </c>
      <c r="G12" s="34"/>
      <c r="H12" s="33"/>
      <c r="I12" s="33"/>
      <c r="J12" s="40">
        <f>C34*'E Balans VL '!D22/100/3.6*1000000+C34*'E Balans VL '!E22/100/3.6*1000000</f>
        <v>0.12184422894813578</v>
      </c>
      <c r="K12" s="33"/>
      <c r="L12" s="33"/>
      <c r="M12" s="33"/>
      <c r="N12" s="33">
        <f>C34*'E Balans VL '!Y22/100/3.6*1000000</f>
        <v>16.231778846535867</v>
      </c>
      <c r="O12" s="33"/>
      <c r="P12" s="33"/>
      <c r="R12" s="32"/>
    </row>
    <row r="13" spans="1:18">
      <c r="A13" s="6" t="s">
        <v>39</v>
      </c>
      <c r="B13" s="37">
        <f t="shared" si="0"/>
        <v>215.101541697324</v>
      </c>
      <c r="C13" s="33"/>
      <c r="D13" s="37">
        <f>IF( ISERROR(IND_papier_gas_kWh/1000),0,IND_papier_gas_kWh/1000)*0.902</f>
        <v>142.79030264384372</v>
      </c>
      <c r="E13" s="33">
        <f>C35*'E Balans VL '!I23/100/3.6*1000000</f>
        <v>0.30517989432780351</v>
      </c>
      <c r="F13" s="33">
        <f>C35*'E Balans VL '!L23/100/3.6*1000000+C35*'E Balans VL '!N23/100/3.6*1000000</f>
        <v>5.2514374667775527</v>
      </c>
      <c r="G13" s="34"/>
      <c r="H13" s="33"/>
      <c r="I13" s="33"/>
      <c r="J13" s="40">
        <f>C35*'E Balans VL '!D23/100/3.6*1000000+C35*'E Balans VL '!E23/100/3.6*1000000</f>
        <v>3.3267472919827575E-2</v>
      </c>
      <c r="K13" s="33"/>
      <c r="L13" s="33"/>
      <c r="M13" s="33"/>
      <c r="N13" s="33">
        <f>C35*'E Balans VL '!Y23/100/3.6*1000000</f>
        <v>625.24926368181673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24004.759647196301</v>
      </c>
      <c r="C15" s="33"/>
      <c r="D15" s="37">
        <f>IF( ISERROR(IND_rest_gas_kWh/1000),0,IND_rest_gas_kWh/1000)*0.902</f>
        <v>155929.26922012577</v>
      </c>
      <c r="E15" s="33">
        <f>C37*'E Balans VL '!I15/100/3.6*1000000</f>
        <v>1325.4453987302354</v>
      </c>
      <c r="F15" s="33">
        <f>C37*'E Balans VL '!L15/100/3.6*1000000+C37*'E Balans VL '!N15/100/3.6*1000000</f>
        <v>4754.6244113838229</v>
      </c>
      <c r="G15" s="34"/>
      <c r="H15" s="33"/>
      <c r="I15" s="33"/>
      <c r="J15" s="40">
        <f>C37*'E Balans VL '!D15/100/3.6*1000000+C37*'E Balans VL '!E15/100/3.6*1000000</f>
        <v>85.936583071388739</v>
      </c>
      <c r="K15" s="33"/>
      <c r="L15" s="33"/>
      <c r="M15" s="33"/>
      <c r="N15" s="33">
        <f>C37*'E Balans VL '!Y15/100/3.6*1000000</f>
        <v>5384.6443818038579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54154.523875767321</v>
      </c>
      <c r="C18" s="21">
        <f>C5+C16</f>
        <v>0</v>
      </c>
      <c r="D18" s="21">
        <f>MAX((D5+D16),0)</f>
        <v>161350.96875801744</v>
      </c>
      <c r="E18" s="21">
        <f>MAX((E5+E16),0)</f>
        <v>3626.1307449050619</v>
      </c>
      <c r="F18" s="21">
        <f>MAX((F5+F16),0)</f>
        <v>12393.295457813347</v>
      </c>
      <c r="G18" s="21"/>
      <c r="H18" s="21"/>
      <c r="I18" s="21"/>
      <c r="J18" s="21">
        <f>MAX((J5+J16),0)</f>
        <v>86.091694773256705</v>
      </c>
      <c r="K18" s="21"/>
      <c r="L18" s="21">
        <f>MAX((L5+L16),0)</f>
        <v>0</v>
      </c>
      <c r="M18" s="21"/>
      <c r="N18" s="21">
        <f>MAX((N5+N16),0)</f>
        <v>10048.911485472894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0.19862818595390613</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10756.614838641161</v>
      </c>
      <c r="C22" s="23">
        <f ca="1">C18*C20</f>
        <v>0</v>
      </c>
      <c r="D22" s="23">
        <f>D18*D20</f>
        <v>32592.895689119523</v>
      </c>
      <c r="E22" s="23">
        <f>E18*E20</f>
        <v>823.13167909344907</v>
      </c>
      <c r="F22" s="23">
        <f>F18*F20</f>
        <v>3309.0098872361636</v>
      </c>
      <c r="G22" s="23"/>
      <c r="H22" s="23"/>
      <c r="I22" s="23"/>
      <c r="J22" s="23">
        <f>J18*J20</f>
        <v>30.47645994973287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836.87500058390197</v>
      </c>
      <c r="C30" s="39">
        <f>IF(ISERROR(B30*3.6/1000000/'E Balans VL '!Z18*100),0,B30*3.6/1000000/'E Balans VL '!Z18*100)</f>
        <v>4.7427852170942683E-2</v>
      </c>
      <c r="D30" s="237" t="s">
        <v>754</v>
      </c>
    </row>
    <row r="31" spans="1:18">
      <c r="A31" s="6" t="s">
        <v>33</v>
      </c>
      <c r="B31" s="37">
        <f>IF( ISERROR(IND_ander_ele_kWh/1000),0,IND_ander_ele_kWh/1000)</f>
        <v>7681.2763598389001</v>
      </c>
      <c r="C31" s="39">
        <f>IF(ISERROR(B31*3.6/1000000/'E Balans VL '!Z19*100),0,B31*3.6/1000000/'E Balans VL '!Z19*100)</f>
        <v>0.34839071140420669</v>
      </c>
      <c r="D31" s="237" t="s">
        <v>754</v>
      </c>
    </row>
    <row r="32" spans="1:18">
      <c r="A32" s="171" t="s">
        <v>41</v>
      </c>
      <c r="B32" s="37">
        <f>IF( ISERROR(IND_voed_ele_kWh/1000),0,IND_voed_ele_kWh/1000)</f>
        <v>21342.365321957303</v>
      </c>
      <c r="C32" s="39">
        <f>IF(ISERROR(B32*3.6/1000000/'E Balans VL '!Z20*100),0,B32*3.6/1000000/'E Balans VL '!Z20*100)</f>
        <v>0.6602162455660705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74.146004493588094</v>
      </c>
      <c r="C34" s="39">
        <f>IF(ISERROR(B34*3.6/1000000/'E Balans VL '!Z22*100),0,B34*3.6/1000000/'E Balans VL '!Z22*100)</f>
        <v>1.3336552879698711E-2</v>
      </c>
      <c r="D34" s="237" t="s">
        <v>754</v>
      </c>
    </row>
    <row r="35" spans="1:5">
      <c r="A35" s="171" t="s">
        <v>39</v>
      </c>
      <c r="B35" s="37">
        <f>IF( ISERROR(IND_papier_ele_kWh/1000),0,IND_papier_ele_kWh/1000)</f>
        <v>215.101541697324</v>
      </c>
      <c r="C35" s="39">
        <f>IF(ISERROR(B35*3.6/1000000/'E Balans VL '!Z22*100),0,B35*3.6/1000000/'E Balans VL '!Z22*100)</f>
        <v>3.8690056260538702E-2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24004.759647196301</v>
      </c>
      <c r="C37" s="39">
        <f>IF(ISERROR(B37*3.6/1000000/'E Balans VL '!Z15*100),0,B37*3.6/1000000/'E Balans VL '!Z15*100)</f>
        <v>0.19026720085262905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5665.6022302899819</v>
      </c>
      <c r="C5" s="17">
        <f>'Eigen informatie GS &amp; warmtenet'!B60</f>
        <v>0</v>
      </c>
      <c r="D5" s="30">
        <f>IF(ISERROR(SUM(LB_lb_gas_kWh,LB_rest_gas_kWh)/1000),0,SUM(LB_lb_gas_kWh,LB_rest_gas_kWh)/1000)*0.902</f>
        <v>178.74930624895524</v>
      </c>
      <c r="E5" s="17">
        <f>B17*'E Balans VL '!I25/3.6*1000000/100</f>
        <v>166.5293542947737</v>
      </c>
      <c r="F5" s="17">
        <f>B17*('E Balans VL '!L25/3.6*1000000+'E Balans VL '!N25/3.6*1000000)/100</f>
        <v>23602.592738312804</v>
      </c>
      <c r="G5" s="18"/>
      <c r="H5" s="17"/>
      <c r="I5" s="17"/>
      <c r="J5" s="17">
        <f>('E Balans VL '!D25+'E Balans VL '!E25)/3.6*1000000*landbouw!B17/100</f>
        <v>820.82409296837795</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5665.6022302899819</v>
      </c>
      <c r="C8" s="21">
        <f>C5+C6</f>
        <v>62.357142857142847</v>
      </c>
      <c r="D8" s="21">
        <f>MAX((D5+D6),0)</f>
        <v>178.74930624895524</v>
      </c>
      <c r="E8" s="21">
        <f>MAX((E5+E6),0)</f>
        <v>166.5293542947737</v>
      </c>
      <c r="F8" s="21">
        <f>MAX((F5+F6),0)</f>
        <v>23602.592738312804</v>
      </c>
      <c r="G8" s="21"/>
      <c r="H8" s="21"/>
      <c r="I8" s="21"/>
      <c r="J8" s="21">
        <f>MAX((J5+J6),0)</f>
        <v>820.82409296837795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0.19862818595390613</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1125.3482933389039</v>
      </c>
      <c r="C12" s="23">
        <f ca="1">C8*C10</f>
        <v>14.340959609650309</v>
      </c>
      <c r="D12" s="23">
        <f>D8*D10</f>
        <v>36.107359862288959</v>
      </c>
      <c r="E12" s="23">
        <f>E8*E10</f>
        <v>37.80216342491363</v>
      </c>
      <c r="F12" s="23">
        <f>F8*F10</f>
        <v>6301.8922611295193</v>
      </c>
      <c r="G12" s="23"/>
      <c r="H12" s="23"/>
      <c r="I12" s="23"/>
      <c r="J12" s="23">
        <f>J8*J10</f>
        <v>290.5717289108058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0.80396673176305511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976.74784449296419</v>
      </c>
      <c r="C26" s="247">
        <f>B26*'GWP N2O_CH4'!B5</f>
        <v>20511.704734352246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481.69084243352904</v>
      </c>
      <c r="C27" s="247">
        <f>B27*'GWP N2O_CH4'!B5</f>
        <v>10115.507691104111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14.542191043018846</v>
      </c>
      <c r="C28" s="247">
        <f>B28*'GWP N2O_CH4'!B4</f>
        <v>4508.0792233358425</v>
      </c>
      <c r="D28" s="50"/>
    </row>
    <row r="29" spans="1:4">
      <c r="A29" s="41" t="s">
        <v>277</v>
      </c>
      <c r="B29" s="247">
        <f>B34*'ha_N2O bodem landbouw'!B4</f>
        <v>52.701197742694433</v>
      </c>
      <c r="C29" s="247">
        <f>B29*'GWP N2O_CH4'!B4</f>
        <v>16337.371300235274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1.2026231708475865E-2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2.0707737769497876E-4</v>
      </c>
      <c r="C5" s="463" t="s">
        <v>211</v>
      </c>
      <c r="D5" s="448">
        <f>SUM(D6:D11)</f>
        <v>6.8629147694995295E-4</v>
      </c>
      <c r="E5" s="448">
        <f>SUM(E6:E11)</f>
        <v>1.0251805354112116E-3</v>
      </c>
      <c r="F5" s="461" t="s">
        <v>211</v>
      </c>
      <c r="G5" s="448">
        <f>SUM(G6:G11)</f>
        <v>0.58333925249496343</v>
      </c>
      <c r="H5" s="448">
        <f>SUM(H6:H11)</f>
        <v>7.9192254827748818E-2</v>
      </c>
      <c r="I5" s="463" t="s">
        <v>211</v>
      </c>
      <c r="J5" s="463" t="s">
        <v>211</v>
      </c>
      <c r="K5" s="463" t="s">
        <v>211</v>
      </c>
      <c r="L5" s="463" t="s">
        <v>211</v>
      </c>
      <c r="M5" s="448">
        <f>SUM(M6:M11)</f>
        <v>3.6418522230538382E-2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9.0030358988345768E-5</v>
      </c>
      <c r="C6" s="449"/>
      <c r="D6" s="892">
        <f>vkm_2011_GW_PW*SUMIFS(TableVerdeelsleutelVkm[CNG],TableVerdeelsleutelVkm[Voertuigtype],"Lichte voertuigen")*SUMIFS(TableECFTransport[EnergieConsumptieFactor (PJ per km)],TableECFTransport[Index],CONCATENATE($A6,"_CNG_CNG"))</f>
        <v>2.7003940423918018E-4</v>
      </c>
      <c r="E6" s="892">
        <f>vkm_2011_GW_PW*SUMIFS(TableVerdeelsleutelVkm[LPG],TableVerdeelsleutelVkm[Voertuigtype],"Lichte voertuigen")*SUMIFS(TableECFTransport[EnergieConsumptieFactor (PJ per km)],TableECFTransport[Index],CONCATENATE($A6,"_LPG_LPG"))</f>
        <v>3.6891261543951743E-4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9.5383891135521717E-2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3.0713875014132815E-2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6.4788106962562755E-3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7.0037273246168527E-2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2.1345937720808456E-5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4.0927419561584723E-3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2.2324792694423714E-5</v>
      </c>
      <c r="C8" s="449"/>
      <c r="D8" s="451">
        <f>vkm_2011_NGW_PW*SUMIFS(TableVerdeelsleutelVkm[CNG],TableVerdeelsleutelVkm[Voertuigtype],"Lichte voertuigen")*SUMIFS(TableECFTransport[EnergieConsumptieFactor (PJ per km)],TableECFTransport[Index],CONCATENATE($A8,"_CNG_CNG"))</f>
        <v>1.1905841237351715E-4</v>
      </c>
      <c r="E8" s="451">
        <f>vkm_2011_NGW_PW*SUMIFS(TableVerdeelsleutelVkm[LPG],TableVerdeelsleutelVkm[Voertuigtype],"Lichte voertuigen")*SUMIFS(TableECFTransport[EnergieConsumptieFactor (PJ per km)],TableECFTransport[Index],CONCATENATE($A8,"_LPG_LPG"))</f>
        <v>1.5063318372312228E-4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3.6294330407765196E-2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1.3159395793552357E-2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2.5086638904867316E-3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2.8503267409040158E-2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8.1782636588073725E-6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1.6656197737424589E-3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9.4722226012209292E-5</v>
      </c>
      <c r="C10" s="449"/>
      <c r="D10" s="451">
        <f>vkm_2011_SW_PW*SUMIFS(TableVerdeelsleutelVkm[CNG],TableVerdeelsleutelVkm[Voertuigtype],"Lichte voertuigen")*SUMIFS(TableECFTransport[EnergieConsumptieFactor (PJ per km)],TableECFTransport[Index],CONCATENATE($A10,"_CNG_CNG"))</f>
        <v>2.9719366033725559E-4</v>
      </c>
      <c r="E10" s="451">
        <f>vkm_2011_SW_PW*SUMIFS(TableVerdeelsleutelVkm[LPG],TableVerdeelsleutelVkm[Voertuigtype],"Lichte voertuigen")*SUMIFS(TableECFTransport[EnergieConsumptieFactor (PJ per km)],TableECFTransport[Index],CONCATENATE($A10,"_LPG_LPG"))</f>
        <v>5.0563473624857201E-4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0.11654995232069783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3.5211597704283247E-2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7.8481319487776948E-3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0.23657053797576993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7.7862114400779317E-5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1.3824553965116749E-2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57.521493804160762</v>
      </c>
      <c r="C14" s="21"/>
      <c r="D14" s="21">
        <f t="shared" ref="D14:M14" si="0">((D5)*10^9/3600)+D12</f>
        <v>190.63652137498696</v>
      </c>
      <c r="E14" s="21">
        <f t="shared" si="0"/>
        <v>284.77237094755878</v>
      </c>
      <c r="F14" s="21"/>
      <c r="G14" s="21">
        <f t="shared" si="0"/>
        <v>162038.68124860094</v>
      </c>
      <c r="H14" s="21">
        <f t="shared" si="0"/>
        <v>21997.84856326356</v>
      </c>
      <c r="I14" s="21"/>
      <c r="J14" s="21"/>
      <c r="K14" s="21"/>
      <c r="L14" s="21"/>
      <c r="M14" s="21">
        <f t="shared" si="0"/>
        <v>10116.25617514955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0.19862818595390613</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11.425389967679303</v>
      </c>
      <c r="C18" s="23"/>
      <c r="D18" s="23">
        <f t="shared" ref="D18:M18" si="1">D14*D16</f>
        <v>38.508577317747367</v>
      </c>
      <c r="E18" s="23">
        <f t="shared" si="1"/>
        <v>64.643328205095841</v>
      </c>
      <c r="F18" s="23"/>
      <c r="G18" s="23">
        <f t="shared" si="1"/>
        <v>43264.327893376452</v>
      </c>
      <c r="H18" s="23">
        <f t="shared" si="1"/>
        <v>5477.4642922526264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4.0202173206211759E-3</v>
      </c>
      <c r="H50" s="321">
        <f t="shared" si="2"/>
        <v>0</v>
      </c>
      <c r="I50" s="321">
        <f t="shared" si="2"/>
        <v>0</v>
      </c>
      <c r="J50" s="321">
        <f t="shared" si="2"/>
        <v>0</v>
      </c>
      <c r="K50" s="321">
        <f t="shared" si="2"/>
        <v>0</v>
      </c>
      <c r="L50" s="321">
        <f t="shared" si="2"/>
        <v>0</v>
      </c>
      <c r="M50" s="321">
        <f t="shared" si="2"/>
        <v>2.2833059625483834E-4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4.0202173206211759E-3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2.2833059625483834E-4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1116.7270335058822</v>
      </c>
      <c r="H54" s="21">
        <f t="shared" si="3"/>
        <v>0</v>
      </c>
      <c r="I54" s="21">
        <f t="shared" si="3"/>
        <v>0</v>
      </c>
      <c r="J54" s="21">
        <f t="shared" si="3"/>
        <v>0</v>
      </c>
      <c r="K54" s="21">
        <f t="shared" si="3"/>
        <v>0</v>
      </c>
      <c r="L54" s="21">
        <f t="shared" si="3"/>
        <v>0</v>
      </c>
      <c r="M54" s="21">
        <f t="shared" si="3"/>
        <v>63.425165626343983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0.19862818595390613</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298.16611794607059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27912.047901902541</v>
      </c>
      <c r="D10" s="1013">
        <f ca="1">tertiair!C16</f>
        <v>1870.7142857142858</v>
      </c>
      <c r="E10" s="1013">
        <f ca="1">tertiair!D16</f>
        <v>27298.231968065618</v>
      </c>
      <c r="F10" s="1013">
        <f>tertiair!E16</f>
        <v>428.34782131664394</v>
      </c>
      <c r="G10" s="1013">
        <f ca="1">tertiair!F16</f>
        <v>4448.4053475900573</v>
      </c>
      <c r="H10" s="1013">
        <f>tertiair!G16</f>
        <v>0</v>
      </c>
      <c r="I10" s="1013">
        <f>tertiair!H16</f>
        <v>0</v>
      </c>
      <c r="J10" s="1013">
        <f>tertiair!I16</f>
        <v>0</v>
      </c>
      <c r="K10" s="1013">
        <f>tertiair!J16</f>
        <v>4.2683810999221417E-2</v>
      </c>
      <c r="L10" s="1013">
        <f>tertiair!K16</f>
        <v>0</v>
      </c>
      <c r="M10" s="1013">
        <f ca="1">tertiair!L16</f>
        <v>0</v>
      </c>
      <c r="N10" s="1013">
        <f>tertiair!M16</f>
        <v>0</v>
      </c>
      <c r="O10" s="1013">
        <f ca="1">tertiair!N16</f>
        <v>1730.4096025297349</v>
      </c>
      <c r="P10" s="1013">
        <f>tertiair!O16</f>
        <v>10.943333333333335</v>
      </c>
      <c r="Q10" s="1014">
        <f>tertiair!P16</f>
        <v>38.133333333333333</v>
      </c>
      <c r="R10" s="700">
        <f ca="1">SUM(C10:Q10)</f>
        <v>63737.276277596553</v>
      </c>
      <c r="S10" s="67"/>
    </row>
    <row r="11" spans="1:19" s="473" customFormat="1">
      <c r="A11" s="809" t="s">
        <v>225</v>
      </c>
      <c r="B11" s="814"/>
      <c r="C11" s="1013">
        <f>huishoudens!B8</f>
        <v>19148.069507315355</v>
      </c>
      <c r="D11" s="1013">
        <f>huishoudens!C8</f>
        <v>0</v>
      </c>
      <c r="E11" s="1013">
        <f>huishoudens!D8</f>
        <v>47948.73951074553</v>
      </c>
      <c r="F11" s="1013">
        <f>huishoudens!E8</f>
        <v>6581.1111402038678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13520.467428805987</v>
      </c>
      <c r="P11" s="1013">
        <f>huishoudens!O8</f>
        <v>392.3966666666667</v>
      </c>
      <c r="Q11" s="1014">
        <f>huishoudens!P8</f>
        <v>400.4</v>
      </c>
      <c r="R11" s="700">
        <f>SUM(C11:Q11)</f>
        <v>87991.184253737403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54154.523875767321</v>
      </c>
      <c r="D13" s="1013">
        <f>industrie!C18</f>
        <v>0</v>
      </c>
      <c r="E13" s="1013">
        <f>industrie!D18</f>
        <v>161350.96875801744</v>
      </c>
      <c r="F13" s="1013">
        <f>industrie!E18</f>
        <v>3626.1307449050619</v>
      </c>
      <c r="G13" s="1013">
        <f>industrie!F18</f>
        <v>12393.295457813347</v>
      </c>
      <c r="H13" s="1013">
        <f>industrie!G18</f>
        <v>0</v>
      </c>
      <c r="I13" s="1013">
        <f>industrie!H18</f>
        <v>0</v>
      </c>
      <c r="J13" s="1013">
        <f>industrie!I18</f>
        <v>0</v>
      </c>
      <c r="K13" s="1013">
        <f>industrie!J18</f>
        <v>86.091694773256705</v>
      </c>
      <c r="L13" s="1013">
        <f>industrie!K18</f>
        <v>0</v>
      </c>
      <c r="M13" s="1013">
        <f>industrie!L18</f>
        <v>0</v>
      </c>
      <c r="N13" s="1013">
        <f>industrie!M18</f>
        <v>0</v>
      </c>
      <c r="O13" s="1013">
        <f>industrie!N18</f>
        <v>10048.911485472894</v>
      </c>
      <c r="P13" s="1013">
        <f>industrie!O18</f>
        <v>0</v>
      </c>
      <c r="Q13" s="1014">
        <f>industrie!P18</f>
        <v>0</v>
      </c>
      <c r="R13" s="700">
        <f>SUM(C13:Q13)</f>
        <v>241659.92201674933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101214.64128498522</v>
      </c>
      <c r="D16" s="732">
        <f t="shared" ref="D16:R16" ca="1" si="0">SUM(D9:D15)</f>
        <v>1870.7142857142858</v>
      </c>
      <c r="E16" s="732">
        <f t="shared" ca="1" si="0"/>
        <v>236597.94023682858</v>
      </c>
      <c r="F16" s="732">
        <f t="shared" si="0"/>
        <v>10635.589706425573</v>
      </c>
      <c r="G16" s="732">
        <f t="shared" ca="1" si="0"/>
        <v>16841.700805403405</v>
      </c>
      <c r="H16" s="732">
        <f t="shared" si="0"/>
        <v>0</v>
      </c>
      <c r="I16" s="732">
        <f t="shared" si="0"/>
        <v>0</v>
      </c>
      <c r="J16" s="732">
        <f t="shared" si="0"/>
        <v>0</v>
      </c>
      <c r="K16" s="732">
        <f t="shared" si="0"/>
        <v>86.134378584255927</v>
      </c>
      <c r="L16" s="732">
        <f t="shared" si="0"/>
        <v>0</v>
      </c>
      <c r="M16" s="732">
        <f t="shared" ca="1" si="0"/>
        <v>0</v>
      </c>
      <c r="N16" s="732">
        <f t="shared" si="0"/>
        <v>0</v>
      </c>
      <c r="O16" s="732">
        <f t="shared" ca="1" si="0"/>
        <v>25299.788516808614</v>
      </c>
      <c r="P16" s="732">
        <f t="shared" si="0"/>
        <v>403.34000000000003</v>
      </c>
      <c r="Q16" s="732">
        <f t="shared" si="0"/>
        <v>438.5333333333333</v>
      </c>
      <c r="R16" s="732">
        <f t="shared" ca="1" si="0"/>
        <v>393388.38254808332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1116.7270335058822</v>
      </c>
      <c r="I19" s="1013">
        <f>transport!H54</f>
        <v>0</v>
      </c>
      <c r="J19" s="1013">
        <f>transport!I54</f>
        <v>0</v>
      </c>
      <c r="K19" s="1013">
        <f>transport!J54</f>
        <v>0</v>
      </c>
      <c r="L19" s="1013">
        <f>transport!K54</f>
        <v>0</v>
      </c>
      <c r="M19" s="1013">
        <f>transport!L54</f>
        <v>0</v>
      </c>
      <c r="N19" s="1013">
        <f>transport!M54</f>
        <v>63.425165626343983</v>
      </c>
      <c r="O19" s="1013">
        <f>transport!N54</f>
        <v>0</v>
      </c>
      <c r="P19" s="1013">
        <f>transport!O54</f>
        <v>0</v>
      </c>
      <c r="Q19" s="1014">
        <f>transport!P54</f>
        <v>0</v>
      </c>
      <c r="R19" s="700">
        <f>SUM(C19:Q19)</f>
        <v>1180.1521991322261</v>
      </c>
      <c r="S19" s="67"/>
    </row>
    <row r="20" spans="1:19" s="473" customFormat="1">
      <c r="A20" s="809" t="s">
        <v>307</v>
      </c>
      <c r="B20" s="814"/>
      <c r="C20" s="1013">
        <f>transport!B14</f>
        <v>57.521493804160762</v>
      </c>
      <c r="D20" s="1013">
        <f>transport!C14</f>
        <v>0</v>
      </c>
      <c r="E20" s="1013">
        <f>transport!D14</f>
        <v>190.63652137498696</v>
      </c>
      <c r="F20" s="1013">
        <f>transport!E14</f>
        <v>284.77237094755878</v>
      </c>
      <c r="G20" s="1013">
        <f>transport!F14</f>
        <v>0</v>
      </c>
      <c r="H20" s="1013">
        <f>transport!G14</f>
        <v>162038.68124860094</v>
      </c>
      <c r="I20" s="1013">
        <f>transport!H14</f>
        <v>21997.84856326356</v>
      </c>
      <c r="J20" s="1013">
        <f>transport!I14</f>
        <v>0</v>
      </c>
      <c r="K20" s="1013">
        <f>transport!J14</f>
        <v>0</v>
      </c>
      <c r="L20" s="1013">
        <f>transport!K14</f>
        <v>0</v>
      </c>
      <c r="M20" s="1013">
        <f>transport!L14</f>
        <v>0</v>
      </c>
      <c r="N20" s="1013">
        <f>transport!M14</f>
        <v>10116.25617514955</v>
      </c>
      <c r="O20" s="1013">
        <f>transport!N14</f>
        <v>0</v>
      </c>
      <c r="P20" s="1013">
        <f>transport!O14</f>
        <v>0</v>
      </c>
      <c r="Q20" s="1014">
        <f>transport!P14</f>
        <v>0</v>
      </c>
      <c r="R20" s="700">
        <f>SUM(C20:Q20)</f>
        <v>194685.71637314078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57.521493804160762</v>
      </c>
      <c r="D22" s="812">
        <f t="shared" ref="D22:R22" si="1">SUM(D18:D21)</f>
        <v>0</v>
      </c>
      <c r="E22" s="812">
        <f t="shared" si="1"/>
        <v>190.63652137498696</v>
      </c>
      <c r="F22" s="812">
        <f t="shared" si="1"/>
        <v>284.77237094755878</v>
      </c>
      <c r="G22" s="812">
        <f t="shared" si="1"/>
        <v>0</v>
      </c>
      <c r="H22" s="812">
        <f t="shared" si="1"/>
        <v>163155.40828210683</v>
      </c>
      <c r="I22" s="812">
        <f t="shared" si="1"/>
        <v>21997.84856326356</v>
      </c>
      <c r="J22" s="812">
        <f t="shared" si="1"/>
        <v>0</v>
      </c>
      <c r="K22" s="812">
        <f t="shared" si="1"/>
        <v>0</v>
      </c>
      <c r="L22" s="812">
        <f t="shared" si="1"/>
        <v>0</v>
      </c>
      <c r="M22" s="812">
        <f t="shared" si="1"/>
        <v>0</v>
      </c>
      <c r="N22" s="812">
        <f t="shared" si="1"/>
        <v>10179.681340775895</v>
      </c>
      <c r="O22" s="812">
        <f t="shared" si="1"/>
        <v>0</v>
      </c>
      <c r="P22" s="812">
        <f t="shared" si="1"/>
        <v>0</v>
      </c>
      <c r="Q22" s="812">
        <f t="shared" si="1"/>
        <v>0</v>
      </c>
      <c r="R22" s="812">
        <f t="shared" si="1"/>
        <v>195865.868572273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5665.6022302899819</v>
      </c>
      <c r="D24" s="1013">
        <f>+landbouw!C8</f>
        <v>62.357142857142847</v>
      </c>
      <c r="E24" s="1013">
        <f>+landbouw!D8</f>
        <v>178.74930624895524</v>
      </c>
      <c r="F24" s="1013">
        <f>+landbouw!E8</f>
        <v>166.5293542947737</v>
      </c>
      <c r="G24" s="1013">
        <f>+landbouw!F8</f>
        <v>23602.592738312804</v>
      </c>
      <c r="H24" s="1013">
        <f>+landbouw!G8</f>
        <v>0</v>
      </c>
      <c r="I24" s="1013">
        <f>+landbouw!H8</f>
        <v>0</v>
      </c>
      <c r="J24" s="1013">
        <f>+landbouw!I8</f>
        <v>0</v>
      </c>
      <c r="K24" s="1013">
        <f>+landbouw!J8</f>
        <v>820.82409296837795</v>
      </c>
      <c r="L24" s="1013">
        <f>+landbouw!K8</f>
        <v>0</v>
      </c>
      <c r="M24" s="1013">
        <f>+landbouw!L8</f>
        <v>0</v>
      </c>
      <c r="N24" s="1013">
        <f>+landbouw!M8</f>
        <v>0</v>
      </c>
      <c r="O24" s="1013">
        <f>+landbouw!N8</f>
        <v>0</v>
      </c>
      <c r="P24" s="1013">
        <f>+landbouw!O8</f>
        <v>0</v>
      </c>
      <c r="Q24" s="1014">
        <f>+landbouw!P8</f>
        <v>0</v>
      </c>
      <c r="R24" s="700">
        <f>SUM(C24:Q24)</f>
        <v>30496.654864972035</v>
      </c>
      <c r="S24" s="67"/>
    </row>
    <row r="25" spans="1:19" s="473" customFormat="1" ht="15" thickBot="1">
      <c r="A25" s="831" t="s">
        <v>836</v>
      </c>
      <c r="B25" s="1016"/>
      <c r="C25" s="1017">
        <f>IF(Onbekend_ele_kWh="---",0,Onbekend_ele_kWh)/1000+IF(REST_rest_ele_kWh="---",0,REST_rest_ele_kWh)/1000</f>
        <v>1511.7156850885199</v>
      </c>
      <c r="D25" s="1017"/>
      <c r="E25" s="1017">
        <f>IF(onbekend_gas_kWh="---",0,onbekend_gas_kWh)/1000+IF(REST_rest_gas_kWh="---",0,REST_rest_gas_kWh)/1000</f>
        <v>2679.6132543180302</v>
      </c>
      <c r="F25" s="1017"/>
      <c r="G25" s="1017"/>
      <c r="H25" s="1017"/>
      <c r="I25" s="1017"/>
      <c r="J25" s="1017"/>
      <c r="K25" s="1017"/>
      <c r="L25" s="1017"/>
      <c r="M25" s="1017"/>
      <c r="N25" s="1017"/>
      <c r="O25" s="1017"/>
      <c r="P25" s="1017"/>
      <c r="Q25" s="1018"/>
      <c r="R25" s="700">
        <f>SUM(C25:Q25)</f>
        <v>4191.3289394065505</v>
      </c>
      <c r="S25" s="67"/>
    </row>
    <row r="26" spans="1:19" s="473" customFormat="1" ht="15.75" thickBot="1">
      <c r="A26" s="705" t="s">
        <v>837</v>
      </c>
      <c r="B26" s="817"/>
      <c r="C26" s="812">
        <f>SUM(C24:C25)</f>
        <v>7177.3179153785022</v>
      </c>
      <c r="D26" s="812">
        <f t="shared" ref="D26:R26" si="2">SUM(D24:D25)</f>
        <v>62.357142857142847</v>
      </c>
      <c r="E26" s="812">
        <f t="shared" si="2"/>
        <v>2858.3625605669854</v>
      </c>
      <c r="F26" s="812">
        <f t="shared" si="2"/>
        <v>166.5293542947737</v>
      </c>
      <c r="G26" s="812">
        <f t="shared" si="2"/>
        <v>23602.592738312804</v>
      </c>
      <c r="H26" s="812">
        <f t="shared" si="2"/>
        <v>0</v>
      </c>
      <c r="I26" s="812">
        <f t="shared" si="2"/>
        <v>0</v>
      </c>
      <c r="J26" s="812">
        <f t="shared" si="2"/>
        <v>0</v>
      </c>
      <c r="K26" s="812">
        <f t="shared" si="2"/>
        <v>820.82409296837795</v>
      </c>
      <c r="L26" s="812">
        <f t="shared" si="2"/>
        <v>0</v>
      </c>
      <c r="M26" s="812">
        <f t="shared" si="2"/>
        <v>0</v>
      </c>
      <c r="N26" s="812">
        <f t="shared" si="2"/>
        <v>0</v>
      </c>
      <c r="O26" s="812">
        <f t="shared" si="2"/>
        <v>0</v>
      </c>
      <c r="P26" s="812">
        <f t="shared" si="2"/>
        <v>0</v>
      </c>
      <c r="Q26" s="812">
        <f t="shared" si="2"/>
        <v>0</v>
      </c>
      <c r="R26" s="812">
        <f t="shared" si="2"/>
        <v>34687.983804378586</v>
      </c>
      <c r="S26" s="67"/>
    </row>
    <row r="27" spans="1:19" s="473" customFormat="1" ht="17.25" thickTop="1" thickBot="1">
      <c r="A27" s="706" t="s">
        <v>116</v>
      </c>
      <c r="B27" s="805"/>
      <c r="C27" s="707">
        <f ca="1">C22+C16+C26</f>
        <v>108449.48069416788</v>
      </c>
      <c r="D27" s="707">
        <f t="shared" ref="D27:R27" ca="1" si="3">D22+D16+D26</f>
        <v>1933.0714285714287</v>
      </c>
      <c r="E27" s="707">
        <f t="shared" ca="1" si="3"/>
        <v>239646.93931877054</v>
      </c>
      <c r="F27" s="707">
        <f t="shared" si="3"/>
        <v>11086.891431667906</v>
      </c>
      <c r="G27" s="707">
        <f t="shared" ca="1" si="3"/>
        <v>40444.293543716209</v>
      </c>
      <c r="H27" s="707">
        <f t="shared" si="3"/>
        <v>163155.40828210683</v>
      </c>
      <c r="I27" s="707">
        <f t="shared" si="3"/>
        <v>21997.84856326356</v>
      </c>
      <c r="J27" s="707">
        <f t="shared" si="3"/>
        <v>0</v>
      </c>
      <c r="K27" s="707">
        <f t="shared" si="3"/>
        <v>906.95847155263391</v>
      </c>
      <c r="L27" s="707">
        <f t="shared" si="3"/>
        <v>0</v>
      </c>
      <c r="M27" s="707">
        <f t="shared" ca="1" si="3"/>
        <v>0</v>
      </c>
      <c r="N27" s="707">
        <f t="shared" si="3"/>
        <v>10179.681340775895</v>
      </c>
      <c r="O27" s="707">
        <f t="shared" ca="1" si="3"/>
        <v>25299.788516808614</v>
      </c>
      <c r="P27" s="707">
        <f t="shared" si="3"/>
        <v>403.34000000000003</v>
      </c>
      <c r="Q27" s="707">
        <f t="shared" si="3"/>
        <v>438.5333333333333</v>
      </c>
      <c r="R27" s="707">
        <f t="shared" ca="1" si="3"/>
        <v>623942.23492473492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5544.1194410134331</v>
      </c>
      <c r="D40" s="1013">
        <f ca="1">tertiair!C20</f>
        <v>430.22878828950934</v>
      </c>
      <c r="E40" s="1013">
        <f ca="1">tertiair!D20</f>
        <v>5514.2428575492549</v>
      </c>
      <c r="F40" s="1013">
        <f>tertiair!E20</f>
        <v>97.234955438878174</v>
      </c>
      <c r="G40" s="1013">
        <f ca="1">tertiair!F20</f>
        <v>1187.7242278065453</v>
      </c>
      <c r="H40" s="1013">
        <f>tertiair!G20</f>
        <v>0</v>
      </c>
      <c r="I40" s="1013">
        <f>tertiair!H20</f>
        <v>0</v>
      </c>
      <c r="J40" s="1013">
        <f>tertiair!I20</f>
        <v>0</v>
      </c>
      <c r="K40" s="1013">
        <f>tertiair!J20</f>
        <v>1.5110069093724381E-2</v>
      </c>
      <c r="L40" s="1013">
        <f>tertiair!K20</f>
        <v>0</v>
      </c>
      <c r="M40" s="1013">
        <f ca="1">tertiair!L20</f>
        <v>0</v>
      </c>
      <c r="N40" s="1013">
        <f>tertiair!M20</f>
        <v>0</v>
      </c>
      <c r="O40" s="1013">
        <f ca="1">tertiair!N20</f>
        <v>0</v>
      </c>
      <c r="P40" s="1013">
        <f>tertiair!O20</f>
        <v>0</v>
      </c>
      <c r="Q40" s="774">
        <f>tertiair!P20</f>
        <v>0</v>
      </c>
      <c r="R40" s="850">
        <f t="shared" ca="1" si="4"/>
        <v>12773.565380166716</v>
      </c>
    </row>
    <row r="41" spans="1:18">
      <c r="A41" s="822" t="s">
        <v>225</v>
      </c>
      <c r="B41" s="829"/>
      <c r="C41" s="1013">
        <f ca="1">huishoudens!B12</f>
        <v>3803.3463107573539</v>
      </c>
      <c r="D41" s="1013">
        <f ca="1">huishoudens!C12</f>
        <v>0</v>
      </c>
      <c r="E41" s="1013">
        <f>huishoudens!D12</f>
        <v>9685.6453811705978</v>
      </c>
      <c r="F41" s="1013">
        <f>huishoudens!E12</f>
        <v>1493.9122288262781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14982.90392075423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10756.614838641161</v>
      </c>
      <c r="D43" s="1013">
        <f ca="1">industrie!C22</f>
        <v>0</v>
      </c>
      <c r="E43" s="1013">
        <f>industrie!D22</f>
        <v>32592.895689119523</v>
      </c>
      <c r="F43" s="1013">
        <f>industrie!E22</f>
        <v>823.13167909344907</v>
      </c>
      <c r="G43" s="1013">
        <f>industrie!F22</f>
        <v>3309.0098872361636</v>
      </c>
      <c r="H43" s="1013">
        <f>industrie!G22</f>
        <v>0</v>
      </c>
      <c r="I43" s="1013">
        <f>industrie!H22</f>
        <v>0</v>
      </c>
      <c r="J43" s="1013">
        <f>industrie!I22</f>
        <v>0</v>
      </c>
      <c r="K43" s="1013">
        <f>industrie!J22</f>
        <v>30.47645994973287</v>
      </c>
      <c r="L43" s="1013">
        <f>industrie!K22</f>
        <v>0</v>
      </c>
      <c r="M43" s="1013">
        <f>industrie!L22</f>
        <v>0</v>
      </c>
      <c r="N43" s="1013">
        <f>industrie!M22</f>
        <v>0</v>
      </c>
      <c r="O43" s="1013">
        <f>industrie!N22</f>
        <v>0</v>
      </c>
      <c r="P43" s="1013">
        <f>industrie!O22</f>
        <v>0</v>
      </c>
      <c r="Q43" s="774">
        <f>industrie!P22</f>
        <v>0</v>
      </c>
      <c r="R43" s="849">
        <f t="shared" ca="1" si="4"/>
        <v>47512.128554040035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20104.080590411948</v>
      </c>
      <c r="D46" s="732">
        <f t="shared" ref="D46:Q46" ca="1" si="5">SUM(D39:D45)</f>
        <v>430.22878828950934</v>
      </c>
      <c r="E46" s="732">
        <f t="shared" ca="1" si="5"/>
        <v>47792.78392783938</v>
      </c>
      <c r="F46" s="732">
        <f t="shared" si="5"/>
        <v>2414.2788633586051</v>
      </c>
      <c r="G46" s="732">
        <f t="shared" ca="1" si="5"/>
        <v>4496.7341150427092</v>
      </c>
      <c r="H46" s="732">
        <f t="shared" si="5"/>
        <v>0</v>
      </c>
      <c r="I46" s="732">
        <f t="shared" si="5"/>
        <v>0</v>
      </c>
      <c r="J46" s="732">
        <f t="shared" si="5"/>
        <v>0</v>
      </c>
      <c r="K46" s="732">
        <f t="shared" si="5"/>
        <v>30.491570018826593</v>
      </c>
      <c r="L46" s="732">
        <f t="shared" si="5"/>
        <v>0</v>
      </c>
      <c r="M46" s="732">
        <f t="shared" ca="1" si="5"/>
        <v>0</v>
      </c>
      <c r="N46" s="732">
        <f t="shared" si="5"/>
        <v>0</v>
      </c>
      <c r="O46" s="732">
        <f t="shared" ca="1" si="5"/>
        <v>0</v>
      </c>
      <c r="P46" s="732">
        <f t="shared" si="5"/>
        <v>0</v>
      </c>
      <c r="Q46" s="732">
        <f t="shared" si="5"/>
        <v>0</v>
      </c>
      <c r="R46" s="732">
        <f ca="1">SUM(R39:R45)</f>
        <v>75268.597854960972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298.16611794607059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298.16611794607059</v>
      </c>
    </row>
    <row r="50" spans="1:18">
      <c r="A50" s="825" t="s">
        <v>307</v>
      </c>
      <c r="B50" s="835"/>
      <c r="C50" s="703">
        <f ca="1">transport!B18</f>
        <v>11.425389967679303</v>
      </c>
      <c r="D50" s="703">
        <f>transport!C18</f>
        <v>0</v>
      </c>
      <c r="E50" s="703">
        <f>transport!D18</f>
        <v>38.508577317747367</v>
      </c>
      <c r="F50" s="703">
        <f>transport!E18</f>
        <v>64.643328205095841</v>
      </c>
      <c r="G50" s="703">
        <f>transport!F18</f>
        <v>0</v>
      </c>
      <c r="H50" s="703">
        <f>transport!G18</f>
        <v>43264.327893376452</v>
      </c>
      <c r="I50" s="703">
        <f>transport!H18</f>
        <v>5477.4642922526264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48856.369481119604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11.425389967679303</v>
      </c>
      <c r="D52" s="732">
        <f t="shared" ref="D52:Q52" ca="1" si="6">SUM(D48:D51)</f>
        <v>0</v>
      </c>
      <c r="E52" s="732">
        <f t="shared" si="6"/>
        <v>38.508577317747367</v>
      </c>
      <c r="F52" s="732">
        <f t="shared" si="6"/>
        <v>64.643328205095841</v>
      </c>
      <c r="G52" s="732">
        <f t="shared" si="6"/>
        <v>0</v>
      </c>
      <c r="H52" s="732">
        <f t="shared" si="6"/>
        <v>43562.494011322524</v>
      </c>
      <c r="I52" s="732">
        <f t="shared" si="6"/>
        <v>5477.4642922526264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49154.535599065675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1125.3482933389039</v>
      </c>
      <c r="D54" s="703">
        <f ca="1">+landbouw!C12</f>
        <v>14.340959609650309</v>
      </c>
      <c r="E54" s="703">
        <f>+landbouw!D12</f>
        <v>36.107359862288959</v>
      </c>
      <c r="F54" s="703">
        <f>+landbouw!E12</f>
        <v>37.80216342491363</v>
      </c>
      <c r="G54" s="703">
        <f>+landbouw!F12</f>
        <v>6301.8922611295193</v>
      </c>
      <c r="H54" s="703">
        <f>+landbouw!G12</f>
        <v>0</v>
      </c>
      <c r="I54" s="703">
        <f>+landbouw!H12</f>
        <v>0</v>
      </c>
      <c r="J54" s="703">
        <f>+landbouw!I12</f>
        <v>0</v>
      </c>
      <c r="K54" s="703">
        <f>+landbouw!J12</f>
        <v>290.5717289108058</v>
      </c>
      <c r="L54" s="703">
        <f>+landbouw!K12</f>
        <v>0</v>
      </c>
      <c r="M54" s="703">
        <f>+landbouw!L12</f>
        <v>0</v>
      </c>
      <c r="N54" s="703">
        <f>+landbouw!M12</f>
        <v>0</v>
      </c>
      <c r="O54" s="703">
        <f>+landbouw!N12</f>
        <v>0</v>
      </c>
      <c r="P54" s="703">
        <f>+landbouw!O12</f>
        <v>0</v>
      </c>
      <c r="Q54" s="704">
        <f>+landbouw!P12</f>
        <v>0</v>
      </c>
      <c r="R54" s="731">
        <f ca="1">SUM(C54:Q54)</f>
        <v>7806.0627662760826</v>
      </c>
    </row>
    <row r="55" spans="1:18" ht="15" thickBot="1">
      <c r="A55" s="825" t="s">
        <v>836</v>
      </c>
      <c r="B55" s="835"/>
      <c r="C55" s="703">
        <f ca="1">C25*'EF ele_warmte'!B12</f>
        <v>300.26934420719914</v>
      </c>
      <c r="D55" s="703"/>
      <c r="E55" s="703">
        <f>E25*EF_CO2_aardgas</f>
        <v>541.28187737224209</v>
      </c>
      <c r="F55" s="703"/>
      <c r="G55" s="703"/>
      <c r="H55" s="703"/>
      <c r="I55" s="703"/>
      <c r="J55" s="703"/>
      <c r="K55" s="703"/>
      <c r="L55" s="703"/>
      <c r="M55" s="703"/>
      <c r="N55" s="703"/>
      <c r="O55" s="703"/>
      <c r="P55" s="703"/>
      <c r="Q55" s="704"/>
      <c r="R55" s="731">
        <f ca="1">SUM(C55:Q55)</f>
        <v>841.55122157944129</v>
      </c>
    </row>
    <row r="56" spans="1:18" ht="15.75" thickBot="1">
      <c r="A56" s="823" t="s">
        <v>837</v>
      </c>
      <c r="B56" s="836"/>
      <c r="C56" s="732">
        <f ca="1">SUM(C54:C55)</f>
        <v>1425.617637546103</v>
      </c>
      <c r="D56" s="732">
        <f t="shared" ref="D56:Q56" ca="1" si="7">SUM(D54:D55)</f>
        <v>14.340959609650309</v>
      </c>
      <c r="E56" s="732">
        <f t="shared" si="7"/>
        <v>577.38923723453104</v>
      </c>
      <c r="F56" s="732">
        <f t="shared" si="7"/>
        <v>37.80216342491363</v>
      </c>
      <c r="G56" s="732">
        <f t="shared" si="7"/>
        <v>6301.8922611295193</v>
      </c>
      <c r="H56" s="732">
        <f t="shared" si="7"/>
        <v>0</v>
      </c>
      <c r="I56" s="732">
        <f t="shared" si="7"/>
        <v>0</v>
      </c>
      <c r="J56" s="732">
        <f t="shared" si="7"/>
        <v>0</v>
      </c>
      <c r="K56" s="732">
        <f t="shared" si="7"/>
        <v>290.5717289108058</v>
      </c>
      <c r="L56" s="732">
        <f t="shared" si="7"/>
        <v>0</v>
      </c>
      <c r="M56" s="732">
        <f t="shared" si="7"/>
        <v>0</v>
      </c>
      <c r="N56" s="732">
        <f t="shared" si="7"/>
        <v>0</v>
      </c>
      <c r="O56" s="732">
        <f t="shared" si="7"/>
        <v>0</v>
      </c>
      <c r="P56" s="732">
        <f t="shared" si="7"/>
        <v>0</v>
      </c>
      <c r="Q56" s="733">
        <f t="shared" si="7"/>
        <v>0</v>
      </c>
      <c r="R56" s="734">
        <f ca="1">SUM(R54:R55)</f>
        <v>8647.6139878555241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21541.123617925732</v>
      </c>
      <c r="D61" s="740">
        <f t="shared" ref="D61:Q61" ca="1" si="8">D46+D52+D56</f>
        <v>444.56974789915967</v>
      </c>
      <c r="E61" s="740">
        <f t="shared" ca="1" si="8"/>
        <v>48408.681742391658</v>
      </c>
      <c r="F61" s="740">
        <f t="shared" si="8"/>
        <v>2516.7243549886143</v>
      </c>
      <c r="G61" s="740">
        <f t="shared" ca="1" si="8"/>
        <v>10798.626376172229</v>
      </c>
      <c r="H61" s="740">
        <f t="shared" si="8"/>
        <v>43562.494011322524</v>
      </c>
      <c r="I61" s="740">
        <f t="shared" si="8"/>
        <v>5477.4642922526264</v>
      </c>
      <c r="J61" s="740">
        <f t="shared" si="8"/>
        <v>0</v>
      </c>
      <c r="K61" s="740">
        <f t="shared" si="8"/>
        <v>321.06329892963242</v>
      </c>
      <c r="L61" s="740">
        <f t="shared" si="8"/>
        <v>0</v>
      </c>
      <c r="M61" s="740">
        <f t="shared" ca="1" si="8"/>
        <v>0</v>
      </c>
      <c r="N61" s="740">
        <f t="shared" si="8"/>
        <v>0</v>
      </c>
      <c r="O61" s="740">
        <f t="shared" ca="1" si="8"/>
        <v>0</v>
      </c>
      <c r="P61" s="740">
        <f t="shared" si="8"/>
        <v>0</v>
      </c>
      <c r="Q61" s="740">
        <f t="shared" si="8"/>
        <v>0</v>
      </c>
      <c r="R61" s="740">
        <f ca="1">R46+R52+R56</f>
        <v>133070.74744188218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0.19862818595390613</v>
      </c>
      <c r="D63" s="781">
        <f t="shared" ca="1" si="9"/>
        <v>0.22998102466793169</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11033.322574727523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43.65</v>
      </c>
      <c r="C76" s="750">
        <f>'lokale energieproductie'!B8*IFERROR(SUM(D76:H76)/SUM(D76:O76),0)</f>
        <v>1309.5000000000002</v>
      </c>
      <c r="D76" s="1034">
        <f>'lokale energieproductie'!C8</f>
        <v>1540.5882352941176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311.19882352941175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11076.972574727522</v>
      </c>
      <c r="C78" s="755">
        <f>SUM(C72:C77)</f>
        <v>1309.5000000000002</v>
      </c>
      <c r="D78" s="756">
        <f t="shared" ref="D78:H78" si="10">SUM(D76:D77)</f>
        <v>1540.5882352941176</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311.19882352941175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1870.7142857142858</v>
      </c>
      <c r="D87" s="777">
        <f>'lokale energieproductie'!C17</f>
        <v>2200.8403361344535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444.56974789915967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1870.7142857142858</v>
      </c>
      <c r="D90" s="755">
        <f t="shared" ref="D90:H90" si="12">SUM(D87:D89)</f>
        <v>2200.8403361344535</v>
      </c>
      <c r="E90" s="755">
        <f t="shared" si="12"/>
        <v>0</v>
      </c>
      <c r="F90" s="755">
        <f t="shared" si="12"/>
        <v>0</v>
      </c>
      <c r="G90" s="755">
        <f t="shared" si="12"/>
        <v>0</v>
      </c>
      <c r="H90" s="755">
        <f t="shared" si="12"/>
        <v>0</v>
      </c>
      <c r="I90" s="755">
        <f>SUM(I87:I89)</f>
        <v>0</v>
      </c>
      <c r="J90" s="755">
        <f>SUM(J87:J89)</f>
        <v>73.3613445378151</v>
      </c>
      <c r="K90" s="755">
        <f t="shared" ref="K90:L90" si="13">SUM(K87:K89)</f>
        <v>0</v>
      </c>
      <c r="L90" s="755">
        <f t="shared" si="13"/>
        <v>0</v>
      </c>
      <c r="M90" s="755">
        <f>SUM(M87:M89)</f>
        <v>0</v>
      </c>
      <c r="N90" s="755">
        <f>SUM(N87:N89)</f>
        <v>0</v>
      </c>
      <c r="O90" s="755">
        <f>SUM(O87:O89)</f>
        <v>0</v>
      </c>
      <c r="P90" s="755">
        <v>0</v>
      </c>
      <c r="Q90" s="755">
        <f>SUM(Q87:Q89)</f>
        <v>444.56974789915967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11033.322574727523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1353.15</v>
      </c>
      <c r="C8" s="570">
        <f>B101</f>
        <v>1540.5882352941176</v>
      </c>
      <c r="D8" s="1044"/>
      <c r="E8" s="1044">
        <f>E101</f>
        <v>0</v>
      </c>
      <c r="F8" s="1045"/>
      <c r="G8" s="571"/>
      <c r="H8" s="1044">
        <f>I101</f>
        <v>0</v>
      </c>
      <c r="I8" s="1044">
        <f>G101+F101</f>
        <v>0</v>
      </c>
      <c r="J8" s="1044">
        <f>H101+D101+C101</f>
        <v>51.35294117647058</v>
      </c>
      <c r="K8" s="1044"/>
      <c r="L8" s="1044"/>
      <c r="M8" s="1044"/>
      <c r="N8" s="572"/>
      <c r="O8" s="573">
        <f>C8*$C$12+D8*$D$12+E8*$E$12+F8*$F$12+G8*$G$12+H8*$H$12+I8*$I$12+J8*$J$12</f>
        <v>311.19882352941175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12386.472574727522</v>
      </c>
      <c r="C10" s="583">
        <f t="shared" ref="C10:L10" si="0">SUM(C8:C9)</f>
        <v>1540.5882352941176</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311.19882352941175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1933.0714285714287</v>
      </c>
      <c r="C17" s="595">
        <f>B102</f>
        <v>2200.8403361344535</v>
      </c>
      <c r="D17" s="596"/>
      <c r="E17" s="596">
        <f>E102</f>
        <v>0</v>
      </c>
      <c r="F17" s="1050"/>
      <c r="G17" s="597"/>
      <c r="H17" s="595">
        <f>I102</f>
        <v>0</v>
      </c>
      <c r="I17" s="596">
        <f>G102+F102</f>
        <v>0</v>
      </c>
      <c r="J17" s="596">
        <f>H102+D102+C102</f>
        <v>73.3613445378151</v>
      </c>
      <c r="K17" s="596"/>
      <c r="L17" s="596"/>
      <c r="M17" s="596"/>
      <c r="N17" s="1051"/>
      <c r="O17" s="598">
        <f>C17*$C$22+E17*$E$22+H17*$H$22+I17*$I$22+J17*$J$22+D17*$D$22+F17*$F$22+G17*$G$22+K17*$K$22+L17*$L$22</f>
        <v>444.56974789915967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1933.0714285714287</v>
      </c>
      <c r="C20" s="582">
        <f>SUM(C17:C19)</f>
        <v>2200.8403361344535</v>
      </c>
      <c r="D20" s="582">
        <f t="shared" ref="D20:L20" si="1">SUM(D17:D19)</f>
        <v>0</v>
      </c>
      <c r="E20" s="582">
        <f t="shared" si="1"/>
        <v>0</v>
      </c>
      <c r="F20" s="582">
        <f t="shared" si="1"/>
        <v>0</v>
      </c>
      <c r="G20" s="582">
        <f t="shared" si="1"/>
        <v>0</v>
      </c>
      <c r="H20" s="582">
        <f t="shared" si="1"/>
        <v>0</v>
      </c>
      <c r="I20" s="582">
        <f t="shared" si="1"/>
        <v>0</v>
      </c>
      <c r="J20" s="582">
        <f t="shared" si="1"/>
        <v>73.3613445378151</v>
      </c>
      <c r="K20" s="582">
        <f t="shared" si="1"/>
        <v>0</v>
      </c>
      <c r="L20" s="582">
        <f t="shared" si="1"/>
        <v>0</v>
      </c>
      <c r="M20" s="582"/>
      <c r="N20" s="582"/>
      <c r="O20" s="601">
        <f>SUM(O17:O19)</f>
        <v>444.56974789915967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38025</v>
      </c>
      <c r="C28" s="796">
        <v>8630</v>
      </c>
      <c r="D28" s="653" t="s">
        <v>881</v>
      </c>
      <c r="E28" s="652" t="s">
        <v>882</v>
      </c>
      <c r="F28" s="652" t="s">
        <v>883</v>
      </c>
      <c r="G28" s="652" t="s">
        <v>884</v>
      </c>
      <c r="H28" s="652" t="s">
        <v>885</v>
      </c>
      <c r="I28" s="652" t="s">
        <v>882</v>
      </c>
      <c r="J28" s="795">
        <v>40345</v>
      </c>
      <c r="K28" s="795">
        <v>40452</v>
      </c>
      <c r="L28" s="652" t="s">
        <v>886</v>
      </c>
      <c r="M28" s="652">
        <v>291</v>
      </c>
      <c r="N28" s="652">
        <v>1309.5</v>
      </c>
      <c r="O28" s="652">
        <v>1870.7142857142858</v>
      </c>
      <c r="P28" s="652">
        <v>3741.4285714285716</v>
      </c>
      <c r="Q28" s="652">
        <v>0</v>
      </c>
      <c r="R28" s="652">
        <v>0</v>
      </c>
      <c r="S28" s="652">
        <v>0</v>
      </c>
      <c r="T28" s="652">
        <v>0</v>
      </c>
      <c r="U28" s="652">
        <v>0</v>
      </c>
      <c r="V28" s="652">
        <v>0</v>
      </c>
      <c r="W28" s="652">
        <v>0</v>
      </c>
      <c r="X28" s="652">
        <v>1500</v>
      </c>
      <c r="Y28" s="652" t="s">
        <v>51</v>
      </c>
      <c r="Z28" s="654" t="s">
        <v>156</v>
      </c>
    </row>
    <row r="29" spans="1:26" s="606" customFormat="1" ht="25.5">
      <c r="A29" s="605"/>
      <c r="B29" s="796">
        <v>38025</v>
      </c>
      <c r="C29" s="796">
        <v>8630</v>
      </c>
      <c r="D29" s="653" t="s">
        <v>887</v>
      </c>
      <c r="E29" s="652" t="s">
        <v>888</v>
      </c>
      <c r="F29" s="652" t="s">
        <v>889</v>
      </c>
      <c r="G29" s="652" t="s">
        <v>884</v>
      </c>
      <c r="H29" s="652" t="s">
        <v>885</v>
      </c>
      <c r="I29" s="652" t="s">
        <v>890</v>
      </c>
      <c r="J29" s="795">
        <v>41117</v>
      </c>
      <c r="K29" s="795">
        <v>41244</v>
      </c>
      <c r="L29" s="652" t="s">
        <v>886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300.7</v>
      </c>
      <c r="N58" s="610">
        <f>SUM(N28:N57)</f>
        <v>1353.15</v>
      </c>
      <c r="O58" s="610">
        <f t="shared" ref="O58:W58" si="2">SUM(O28:O57)</f>
        <v>1933.0714285714287</v>
      </c>
      <c r="P58" s="610">
        <f t="shared" si="2"/>
        <v>3741.4285714285716</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291</v>
      </c>
      <c r="N60" s="610">
        <f ca="1">SUMIF($Z$28:AD57,"tertiair",N28:N57)</f>
        <v>1309.5</v>
      </c>
      <c r="O60" s="610">
        <f ca="1">SUMIF($Z$28:AE57,"tertiair",O28:O57)</f>
        <v>1870.7142857142858</v>
      </c>
      <c r="P60" s="610">
        <f ca="1">SUMIF($Z$28:AF57,"tertiair",P28:P57)</f>
        <v>3741.4285714285716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1540.5882352941176</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2200.8403361344535</v>
      </c>
      <c r="C102" s="647">
        <f t="shared" si="10"/>
        <v>73.3613445378151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19148.069507315355</v>
      </c>
      <c r="C4" s="477">
        <f>huishoudens!C8</f>
        <v>0</v>
      </c>
      <c r="D4" s="477">
        <f>huishoudens!D8</f>
        <v>47948.73951074553</v>
      </c>
      <c r="E4" s="477">
        <f>huishoudens!E8</f>
        <v>6581.1111402038678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13520.467428805987</v>
      </c>
      <c r="O4" s="477">
        <f>huishoudens!O8</f>
        <v>392.3966666666667</v>
      </c>
      <c r="P4" s="478">
        <f>huishoudens!P8</f>
        <v>400.4</v>
      </c>
      <c r="Q4" s="479">
        <f>SUM(B4:P4)</f>
        <v>87991.184253737403</v>
      </c>
    </row>
    <row r="5" spans="1:17">
      <c r="A5" s="476" t="s">
        <v>156</v>
      </c>
      <c r="B5" s="477">
        <f ca="1">tertiair!B16</f>
        <v>26986.304901902542</v>
      </c>
      <c r="C5" s="477">
        <f ca="1">tertiair!C16</f>
        <v>1870.7142857142858</v>
      </c>
      <c r="D5" s="477">
        <f ca="1">tertiair!D16</f>
        <v>27298.231968065618</v>
      </c>
      <c r="E5" s="477">
        <f>tertiair!E16</f>
        <v>428.34782131664394</v>
      </c>
      <c r="F5" s="477">
        <f ca="1">tertiair!F16</f>
        <v>4448.4053475900573</v>
      </c>
      <c r="G5" s="477">
        <f>tertiair!G16</f>
        <v>0</v>
      </c>
      <c r="H5" s="477">
        <f>tertiair!H16</f>
        <v>0</v>
      </c>
      <c r="I5" s="477">
        <f>tertiair!I16</f>
        <v>0</v>
      </c>
      <c r="J5" s="477">
        <f>tertiair!J16</f>
        <v>4.2683810999221417E-2</v>
      </c>
      <c r="K5" s="477">
        <f>tertiair!K16</f>
        <v>0</v>
      </c>
      <c r="L5" s="477">
        <f ca="1">tertiair!L16</f>
        <v>0</v>
      </c>
      <c r="M5" s="477">
        <f>tertiair!M16</f>
        <v>0</v>
      </c>
      <c r="N5" s="477">
        <f ca="1">tertiair!N16</f>
        <v>1730.4096025297349</v>
      </c>
      <c r="O5" s="477">
        <f>tertiair!O16</f>
        <v>10.943333333333335</v>
      </c>
      <c r="P5" s="478">
        <f>tertiair!P16</f>
        <v>38.133333333333333</v>
      </c>
      <c r="Q5" s="476">
        <f t="shared" ref="Q5:Q14" ca="1" si="0">SUM(B5:P5)</f>
        <v>62811.533277596551</v>
      </c>
    </row>
    <row r="6" spans="1:17">
      <c r="A6" s="476" t="s">
        <v>194</v>
      </c>
      <c r="B6" s="477">
        <f>'openbare verlichting'!B8</f>
        <v>925.74300000000005</v>
      </c>
      <c r="C6" s="477"/>
      <c r="D6" s="477"/>
      <c r="E6" s="477"/>
      <c r="F6" s="477"/>
      <c r="G6" s="477"/>
      <c r="H6" s="477"/>
      <c r="I6" s="477"/>
      <c r="J6" s="477"/>
      <c r="K6" s="477"/>
      <c r="L6" s="477"/>
      <c r="M6" s="477"/>
      <c r="N6" s="477"/>
      <c r="O6" s="477"/>
      <c r="P6" s="478"/>
      <c r="Q6" s="476">
        <f t="shared" si="0"/>
        <v>925.74300000000005</v>
      </c>
    </row>
    <row r="7" spans="1:17">
      <c r="A7" s="476" t="s">
        <v>112</v>
      </c>
      <c r="B7" s="477">
        <f>landbouw!B8</f>
        <v>5665.6022302899819</v>
      </c>
      <c r="C7" s="477">
        <f>landbouw!C8</f>
        <v>62.357142857142847</v>
      </c>
      <c r="D7" s="477">
        <f>landbouw!D8</f>
        <v>178.74930624895524</v>
      </c>
      <c r="E7" s="477">
        <f>landbouw!E8</f>
        <v>166.5293542947737</v>
      </c>
      <c r="F7" s="477">
        <f>landbouw!F8</f>
        <v>23602.592738312804</v>
      </c>
      <c r="G7" s="477">
        <f>landbouw!G8</f>
        <v>0</v>
      </c>
      <c r="H7" s="477">
        <f>landbouw!H8</f>
        <v>0</v>
      </c>
      <c r="I7" s="477">
        <f>landbouw!I8</f>
        <v>0</v>
      </c>
      <c r="J7" s="477">
        <f>landbouw!J8</f>
        <v>820.82409296837795</v>
      </c>
      <c r="K7" s="477">
        <f>landbouw!K8</f>
        <v>0</v>
      </c>
      <c r="L7" s="477">
        <f>landbouw!L8</f>
        <v>0</v>
      </c>
      <c r="M7" s="477">
        <f>landbouw!M8</f>
        <v>0</v>
      </c>
      <c r="N7" s="477">
        <f>landbouw!N8</f>
        <v>0</v>
      </c>
      <c r="O7" s="477">
        <f>landbouw!O8</f>
        <v>0</v>
      </c>
      <c r="P7" s="478">
        <f>landbouw!P8</f>
        <v>0</v>
      </c>
      <c r="Q7" s="476">
        <f t="shared" si="0"/>
        <v>30496.654864972035</v>
      </c>
    </row>
    <row r="8" spans="1:17">
      <c r="A8" s="476" t="s">
        <v>635</v>
      </c>
      <c r="B8" s="477">
        <f>industrie!B18</f>
        <v>54154.523875767321</v>
      </c>
      <c r="C8" s="477">
        <f>industrie!C18</f>
        <v>0</v>
      </c>
      <c r="D8" s="477">
        <f>industrie!D18</f>
        <v>161350.96875801744</v>
      </c>
      <c r="E8" s="477">
        <f>industrie!E18</f>
        <v>3626.1307449050619</v>
      </c>
      <c r="F8" s="477">
        <f>industrie!F18</f>
        <v>12393.295457813347</v>
      </c>
      <c r="G8" s="477">
        <f>industrie!G18</f>
        <v>0</v>
      </c>
      <c r="H8" s="477">
        <f>industrie!H18</f>
        <v>0</v>
      </c>
      <c r="I8" s="477">
        <f>industrie!I18</f>
        <v>0</v>
      </c>
      <c r="J8" s="477">
        <f>industrie!J18</f>
        <v>86.091694773256705</v>
      </c>
      <c r="K8" s="477">
        <f>industrie!K18</f>
        <v>0</v>
      </c>
      <c r="L8" s="477">
        <f>industrie!L18</f>
        <v>0</v>
      </c>
      <c r="M8" s="477">
        <f>industrie!M18</f>
        <v>0</v>
      </c>
      <c r="N8" s="477">
        <f>industrie!N18</f>
        <v>10048.911485472894</v>
      </c>
      <c r="O8" s="477">
        <f>industrie!O18</f>
        <v>0</v>
      </c>
      <c r="P8" s="478">
        <f>industrie!P18</f>
        <v>0</v>
      </c>
      <c r="Q8" s="476">
        <f t="shared" si="0"/>
        <v>241659.92201674933</v>
      </c>
    </row>
    <row r="9" spans="1:17" s="482" customFormat="1">
      <c r="A9" s="480" t="s">
        <v>561</v>
      </c>
      <c r="B9" s="481">
        <f>transport!B14</f>
        <v>57.521493804160762</v>
      </c>
      <c r="C9" s="481">
        <f>transport!C14</f>
        <v>0</v>
      </c>
      <c r="D9" s="481">
        <f>transport!D14</f>
        <v>190.63652137498696</v>
      </c>
      <c r="E9" s="481">
        <f>transport!E14</f>
        <v>284.77237094755878</v>
      </c>
      <c r="F9" s="481">
        <f>transport!F14</f>
        <v>0</v>
      </c>
      <c r="G9" s="481">
        <f>transport!G14</f>
        <v>162038.68124860094</v>
      </c>
      <c r="H9" s="481">
        <f>transport!H14</f>
        <v>21997.84856326356</v>
      </c>
      <c r="I9" s="481">
        <f>transport!I14</f>
        <v>0</v>
      </c>
      <c r="J9" s="481">
        <f>transport!J14</f>
        <v>0</v>
      </c>
      <c r="K9" s="481">
        <f>transport!K14</f>
        <v>0</v>
      </c>
      <c r="L9" s="481">
        <f>transport!L14</f>
        <v>0</v>
      </c>
      <c r="M9" s="481">
        <f>transport!M14</f>
        <v>10116.25617514955</v>
      </c>
      <c r="N9" s="481">
        <f>transport!N14</f>
        <v>0</v>
      </c>
      <c r="O9" s="481">
        <f>transport!O14</f>
        <v>0</v>
      </c>
      <c r="P9" s="481">
        <f>transport!P14</f>
        <v>0</v>
      </c>
      <c r="Q9" s="480">
        <f>SUM(B9:P9)</f>
        <v>194685.71637314078</v>
      </c>
    </row>
    <row r="10" spans="1:17">
      <c r="A10" s="476" t="s">
        <v>551</v>
      </c>
      <c r="B10" s="477">
        <f>transport!B54</f>
        <v>0</v>
      </c>
      <c r="C10" s="477">
        <f>transport!C54</f>
        <v>0</v>
      </c>
      <c r="D10" s="477">
        <f>transport!D54</f>
        <v>0</v>
      </c>
      <c r="E10" s="477">
        <f>transport!E54</f>
        <v>0</v>
      </c>
      <c r="F10" s="477">
        <f>transport!F54</f>
        <v>0</v>
      </c>
      <c r="G10" s="477">
        <f>transport!G54</f>
        <v>1116.7270335058822</v>
      </c>
      <c r="H10" s="477">
        <f>transport!H54</f>
        <v>0</v>
      </c>
      <c r="I10" s="477">
        <f>transport!I54</f>
        <v>0</v>
      </c>
      <c r="J10" s="477">
        <f>transport!J54</f>
        <v>0</v>
      </c>
      <c r="K10" s="477">
        <f>transport!K54</f>
        <v>0</v>
      </c>
      <c r="L10" s="477">
        <f>transport!L54</f>
        <v>0</v>
      </c>
      <c r="M10" s="477">
        <f>transport!M54</f>
        <v>63.425165626343983</v>
      </c>
      <c r="N10" s="477">
        <f>transport!N54</f>
        <v>0</v>
      </c>
      <c r="O10" s="477">
        <f>transport!O54</f>
        <v>0</v>
      </c>
      <c r="P10" s="478">
        <f>transport!P54</f>
        <v>0</v>
      </c>
      <c r="Q10" s="476">
        <f t="shared" si="0"/>
        <v>1180.1521991322261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1511.7156850885199</v>
      </c>
      <c r="C14" s="484"/>
      <c r="D14" s="484">
        <f>'SEAP template'!E25</f>
        <v>2679.6132543180302</v>
      </c>
      <c r="E14" s="484"/>
      <c r="F14" s="484"/>
      <c r="G14" s="484"/>
      <c r="H14" s="484"/>
      <c r="I14" s="484"/>
      <c r="J14" s="484"/>
      <c r="K14" s="484"/>
      <c r="L14" s="484"/>
      <c r="M14" s="484"/>
      <c r="N14" s="484"/>
      <c r="O14" s="484"/>
      <c r="P14" s="485"/>
      <c r="Q14" s="476">
        <f t="shared" si="0"/>
        <v>4191.3289394065505</v>
      </c>
    </row>
    <row r="15" spans="1:17" s="486" customFormat="1">
      <c r="A15" s="1039" t="s">
        <v>555</v>
      </c>
      <c r="B15" s="987">
        <f ca="1">SUM(B4:B14)</f>
        <v>108449.48069416788</v>
      </c>
      <c r="C15" s="987">
        <f t="shared" ref="C15:Q15" ca="1" si="1">SUM(C4:C14)</f>
        <v>1933.0714285714287</v>
      </c>
      <c r="D15" s="987">
        <f t="shared" ca="1" si="1"/>
        <v>239646.93931877057</v>
      </c>
      <c r="E15" s="987">
        <f t="shared" si="1"/>
        <v>11086.891431667906</v>
      </c>
      <c r="F15" s="987">
        <f t="shared" ca="1" si="1"/>
        <v>40444.293543716209</v>
      </c>
      <c r="G15" s="987">
        <f t="shared" si="1"/>
        <v>163155.40828210683</v>
      </c>
      <c r="H15" s="987">
        <f t="shared" si="1"/>
        <v>21997.84856326356</v>
      </c>
      <c r="I15" s="987">
        <f t="shared" si="1"/>
        <v>0</v>
      </c>
      <c r="J15" s="987">
        <f t="shared" si="1"/>
        <v>906.9584715526338</v>
      </c>
      <c r="K15" s="987">
        <f t="shared" si="1"/>
        <v>0</v>
      </c>
      <c r="L15" s="987">
        <f t="shared" ca="1" si="1"/>
        <v>0</v>
      </c>
      <c r="M15" s="987">
        <f t="shared" si="1"/>
        <v>10179.681340775895</v>
      </c>
      <c r="N15" s="987">
        <f t="shared" ca="1" si="1"/>
        <v>25299.788516808614</v>
      </c>
      <c r="O15" s="987">
        <f t="shared" si="1"/>
        <v>403.34000000000003</v>
      </c>
      <c r="P15" s="987">
        <f t="shared" si="1"/>
        <v>438.5333333333333</v>
      </c>
      <c r="Q15" s="987">
        <f t="shared" ca="1" si="1"/>
        <v>623942.23492473492</v>
      </c>
    </row>
    <row r="17" spans="1:17">
      <c r="A17" s="487" t="s">
        <v>556</v>
      </c>
      <c r="B17" s="786">
        <f ca="1">huishoudens!B10</f>
        <v>0.19862818595390613</v>
      </c>
      <c r="C17" s="786">
        <f ca="1">huishoudens!C10</f>
        <v>0.22998102466793169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3803.3463107573539</v>
      </c>
      <c r="C22" s="477">
        <f t="shared" ref="C22:C32" ca="1" si="3">C4*$C$17</f>
        <v>0</v>
      </c>
      <c r="D22" s="477">
        <f t="shared" ref="D22:D32" si="4">D4*$D$17</f>
        <v>9685.6453811705978</v>
      </c>
      <c r="E22" s="477">
        <f t="shared" ref="E22:E32" si="5">E4*$E$17</f>
        <v>1493.9122288262781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14982.90392075423</v>
      </c>
    </row>
    <row r="23" spans="1:17">
      <c r="A23" s="476" t="s">
        <v>156</v>
      </c>
      <c r="B23" s="477">
        <f t="shared" ca="1" si="2"/>
        <v>5360.2407882639063</v>
      </c>
      <c r="C23" s="477">
        <f t="shared" ca="1" si="3"/>
        <v>430.22878828950934</v>
      </c>
      <c r="D23" s="477">
        <f t="shared" ca="1" si="4"/>
        <v>5514.2428575492549</v>
      </c>
      <c r="E23" s="477">
        <f t="shared" si="5"/>
        <v>97.234955438878174</v>
      </c>
      <c r="F23" s="477">
        <f t="shared" ca="1" si="6"/>
        <v>1187.7242278065453</v>
      </c>
      <c r="G23" s="477">
        <f t="shared" si="7"/>
        <v>0</v>
      </c>
      <c r="H23" s="477">
        <f t="shared" si="8"/>
        <v>0</v>
      </c>
      <c r="I23" s="477">
        <f t="shared" si="9"/>
        <v>0</v>
      </c>
      <c r="J23" s="477">
        <f t="shared" si="10"/>
        <v>1.5110069093724381E-2</v>
      </c>
      <c r="K23" s="477">
        <f t="shared" si="11"/>
        <v>0</v>
      </c>
      <c r="L23" s="477">
        <f t="shared" ca="1" si="12"/>
        <v>0</v>
      </c>
      <c r="M23" s="477">
        <f t="shared" si="13"/>
        <v>0</v>
      </c>
      <c r="N23" s="477">
        <f t="shared" ca="1" si="14"/>
        <v>0</v>
      </c>
      <c r="O23" s="477">
        <f t="shared" si="15"/>
        <v>0</v>
      </c>
      <c r="P23" s="478">
        <f t="shared" si="16"/>
        <v>0</v>
      </c>
      <c r="Q23" s="476">
        <f t="shared" ref="Q23:Q32" ca="1" si="17">SUM(B23:P23)</f>
        <v>12589.686727417191</v>
      </c>
    </row>
    <row r="24" spans="1:17">
      <c r="A24" s="476" t="s">
        <v>194</v>
      </c>
      <c r="B24" s="477">
        <f t="shared" ca="1" si="2"/>
        <v>183.87865274952694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183.87865274952694</v>
      </c>
    </row>
    <row r="25" spans="1:17">
      <c r="A25" s="476" t="s">
        <v>112</v>
      </c>
      <c r="B25" s="477">
        <f t="shared" ca="1" si="2"/>
        <v>1125.3482933389039</v>
      </c>
      <c r="C25" s="477">
        <f t="shared" ca="1" si="3"/>
        <v>14.340959609650309</v>
      </c>
      <c r="D25" s="477">
        <f t="shared" si="4"/>
        <v>36.107359862288959</v>
      </c>
      <c r="E25" s="477">
        <f t="shared" si="5"/>
        <v>37.80216342491363</v>
      </c>
      <c r="F25" s="477">
        <f t="shared" si="6"/>
        <v>6301.8922611295193</v>
      </c>
      <c r="G25" s="477">
        <f t="shared" si="7"/>
        <v>0</v>
      </c>
      <c r="H25" s="477">
        <f t="shared" si="8"/>
        <v>0</v>
      </c>
      <c r="I25" s="477">
        <f t="shared" si="9"/>
        <v>0</v>
      </c>
      <c r="J25" s="477">
        <f t="shared" si="10"/>
        <v>290.5717289108058</v>
      </c>
      <c r="K25" s="477">
        <f t="shared" si="11"/>
        <v>0</v>
      </c>
      <c r="L25" s="477">
        <f t="shared" si="12"/>
        <v>0</v>
      </c>
      <c r="M25" s="477">
        <f t="shared" si="13"/>
        <v>0</v>
      </c>
      <c r="N25" s="477">
        <f t="shared" si="14"/>
        <v>0</v>
      </c>
      <c r="O25" s="477">
        <f t="shared" si="15"/>
        <v>0</v>
      </c>
      <c r="P25" s="478">
        <f t="shared" si="16"/>
        <v>0</v>
      </c>
      <c r="Q25" s="476">
        <f t="shared" ca="1" si="17"/>
        <v>7806.0627662760826</v>
      </c>
    </row>
    <row r="26" spans="1:17">
      <c r="A26" s="476" t="s">
        <v>635</v>
      </c>
      <c r="B26" s="477">
        <f t="shared" ca="1" si="2"/>
        <v>10756.614838641161</v>
      </c>
      <c r="C26" s="477">
        <f t="shared" ca="1" si="3"/>
        <v>0</v>
      </c>
      <c r="D26" s="477">
        <f t="shared" si="4"/>
        <v>32592.895689119523</v>
      </c>
      <c r="E26" s="477">
        <f t="shared" si="5"/>
        <v>823.13167909344907</v>
      </c>
      <c r="F26" s="477">
        <f t="shared" si="6"/>
        <v>3309.0098872361636</v>
      </c>
      <c r="G26" s="477">
        <f t="shared" si="7"/>
        <v>0</v>
      </c>
      <c r="H26" s="477">
        <f t="shared" si="8"/>
        <v>0</v>
      </c>
      <c r="I26" s="477">
        <f t="shared" si="9"/>
        <v>0</v>
      </c>
      <c r="J26" s="477">
        <f t="shared" si="10"/>
        <v>30.47645994973287</v>
      </c>
      <c r="K26" s="477">
        <f t="shared" si="11"/>
        <v>0</v>
      </c>
      <c r="L26" s="477">
        <f t="shared" si="12"/>
        <v>0</v>
      </c>
      <c r="M26" s="477">
        <f t="shared" si="13"/>
        <v>0</v>
      </c>
      <c r="N26" s="477">
        <f t="shared" si="14"/>
        <v>0</v>
      </c>
      <c r="O26" s="477">
        <f t="shared" si="15"/>
        <v>0</v>
      </c>
      <c r="P26" s="478">
        <f t="shared" si="16"/>
        <v>0</v>
      </c>
      <c r="Q26" s="476">
        <f t="shared" ca="1" si="17"/>
        <v>47512.128554040035</v>
      </c>
    </row>
    <row r="27" spans="1:17" s="482" customFormat="1">
      <c r="A27" s="480" t="s">
        <v>561</v>
      </c>
      <c r="B27" s="780">
        <f t="shared" ca="1" si="2"/>
        <v>11.425389967679303</v>
      </c>
      <c r="C27" s="481">
        <f t="shared" ca="1" si="3"/>
        <v>0</v>
      </c>
      <c r="D27" s="481">
        <f t="shared" si="4"/>
        <v>38.508577317747367</v>
      </c>
      <c r="E27" s="481">
        <f t="shared" si="5"/>
        <v>64.643328205095841</v>
      </c>
      <c r="F27" s="481">
        <f t="shared" si="6"/>
        <v>0</v>
      </c>
      <c r="G27" s="481">
        <f t="shared" si="7"/>
        <v>43264.327893376452</v>
      </c>
      <c r="H27" s="481">
        <f t="shared" si="8"/>
        <v>5477.4642922526264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48856.369481119604</v>
      </c>
    </row>
    <row r="28" spans="1:17">
      <c r="A28" s="476" t="s">
        <v>551</v>
      </c>
      <c r="B28" s="477">
        <f t="shared" ca="1" si="2"/>
        <v>0</v>
      </c>
      <c r="C28" s="477">
        <f t="shared" ca="1" si="3"/>
        <v>0</v>
      </c>
      <c r="D28" s="477">
        <f t="shared" si="4"/>
        <v>0</v>
      </c>
      <c r="E28" s="477">
        <f t="shared" si="5"/>
        <v>0</v>
      </c>
      <c r="F28" s="477">
        <f t="shared" si="6"/>
        <v>0</v>
      </c>
      <c r="G28" s="477">
        <f t="shared" si="7"/>
        <v>298.16611794607059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298.16611794607059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300.26934420719914</v>
      </c>
      <c r="C32" s="477">
        <f t="shared" ca="1" si="3"/>
        <v>0</v>
      </c>
      <c r="D32" s="477">
        <f t="shared" si="4"/>
        <v>541.28187737224209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841.55122157944129</v>
      </c>
    </row>
    <row r="33" spans="1:17" s="486" customFormat="1">
      <c r="A33" s="1039" t="s">
        <v>555</v>
      </c>
      <c r="B33" s="987">
        <f ca="1">SUM(B22:B32)</f>
        <v>21541.123617925728</v>
      </c>
      <c r="C33" s="987">
        <f t="shared" ref="C33:Q33" ca="1" si="18">SUM(C22:C32)</f>
        <v>444.56974789915967</v>
      </c>
      <c r="D33" s="987">
        <f t="shared" ca="1" si="18"/>
        <v>48408.681742391658</v>
      </c>
      <c r="E33" s="987">
        <f t="shared" si="18"/>
        <v>2516.7243549886148</v>
      </c>
      <c r="F33" s="987">
        <f t="shared" ca="1" si="18"/>
        <v>10798.626376172228</v>
      </c>
      <c r="G33" s="987">
        <f t="shared" si="18"/>
        <v>43562.494011322524</v>
      </c>
      <c r="H33" s="987">
        <f t="shared" si="18"/>
        <v>5477.4642922526264</v>
      </c>
      <c r="I33" s="987">
        <f t="shared" si="18"/>
        <v>0</v>
      </c>
      <c r="J33" s="987">
        <f t="shared" si="18"/>
        <v>321.06329892963242</v>
      </c>
      <c r="K33" s="987">
        <f t="shared" si="18"/>
        <v>0</v>
      </c>
      <c r="L33" s="987">
        <f t="shared" ca="1" si="18"/>
        <v>0</v>
      </c>
      <c r="M33" s="987">
        <f t="shared" si="18"/>
        <v>0</v>
      </c>
      <c r="N33" s="987">
        <f t="shared" ca="1" si="18"/>
        <v>0</v>
      </c>
      <c r="O33" s="987">
        <f t="shared" si="18"/>
        <v>0</v>
      </c>
      <c r="P33" s="987">
        <f t="shared" si="18"/>
        <v>0</v>
      </c>
      <c r="Q33" s="987">
        <f t="shared" ca="1" si="18"/>
        <v>133070.74744188218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11033.322574727523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43.65</v>
      </c>
      <c r="C8" s="1056">
        <f>'SEAP template'!C76</f>
        <v>1309.5000000000002</v>
      </c>
      <c r="D8" s="1056">
        <f>'SEAP template'!D76</f>
        <v>1540.5882352941176</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311.19882352941175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11076.972574727522</v>
      </c>
      <c r="C10" s="1060">
        <f>SUM(C4:C9)</f>
        <v>1309.5000000000002</v>
      </c>
      <c r="D10" s="1060">
        <f t="shared" ref="D10:H10" si="0">SUM(D8:D9)</f>
        <v>1540.5882352941176</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311.19882352941175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0.19862818595390613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1870.7142857142858</v>
      </c>
      <c r="D17" s="1057">
        <f>'SEAP template'!D87</f>
        <v>2200.8403361344535</v>
      </c>
      <c r="E17" s="1057">
        <f>'SEAP template'!E87</f>
        <v>0</v>
      </c>
      <c r="F17" s="1057">
        <f>'SEAP template'!F87</f>
        <v>0</v>
      </c>
      <c r="G17" s="1057">
        <f>'SEAP template'!G87</f>
        <v>0</v>
      </c>
      <c r="H17" s="1057">
        <f>'SEAP template'!H87</f>
        <v>0</v>
      </c>
      <c r="I17" s="1057">
        <f>'SEAP template'!I87</f>
        <v>0</v>
      </c>
      <c r="J17" s="1057">
        <f>'SEAP template'!J87</f>
        <v>73.3613445378151</v>
      </c>
      <c r="K17" s="1057">
        <f>'SEAP template'!K87</f>
        <v>0</v>
      </c>
      <c r="L17" s="1057">
        <f>'SEAP template'!L87</f>
        <v>0</v>
      </c>
      <c r="M17" s="1057">
        <f>'SEAP template'!M87</f>
        <v>0</v>
      </c>
      <c r="N17" s="1057">
        <f>'SEAP template'!N87</f>
        <v>0</v>
      </c>
      <c r="O17" s="1057">
        <f>'SEAP template'!O87</f>
        <v>0</v>
      </c>
      <c r="P17" s="1057">
        <f>'SEAP template'!Q87</f>
        <v>444.56974789915967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1870.7142857142858</v>
      </c>
      <c r="D20" s="1060">
        <f t="shared" ref="D20:H20" si="2">SUM(D17:D19)</f>
        <v>2200.8403361344535</v>
      </c>
      <c r="E20" s="1060">
        <f t="shared" si="2"/>
        <v>0</v>
      </c>
      <c r="F20" s="1060">
        <f t="shared" si="2"/>
        <v>0</v>
      </c>
      <c r="G20" s="1060">
        <f t="shared" si="2"/>
        <v>0</v>
      </c>
      <c r="H20" s="1060">
        <f t="shared" si="2"/>
        <v>0</v>
      </c>
      <c r="I20" s="1060">
        <f>SUM(I17:I19)</f>
        <v>0</v>
      </c>
      <c r="J20" s="1060">
        <f>SUM(J17:J19)</f>
        <v>73.3613445378151</v>
      </c>
      <c r="K20" s="1060">
        <f t="shared" ref="K20:L20" si="3">SUM(K17:K19)</f>
        <v>0</v>
      </c>
      <c r="L20" s="1060">
        <f t="shared" si="3"/>
        <v>0</v>
      </c>
      <c r="M20" s="1060">
        <f>SUM(M17:M19)</f>
        <v>0</v>
      </c>
      <c r="N20" s="1060">
        <f>SUM(N17:N19)</f>
        <v>0</v>
      </c>
      <c r="O20" s="1060">
        <f>SUM(O17:O19)</f>
        <v>0</v>
      </c>
      <c r="P20" s="1060">
        <f>SUM(P17:P19)</f>
        <v>444.56974789915967</v>
      </c>
    </row>
    <row r="22" spans="1:16">
      <c r="A22" s="487" t="s">
        <v>862</v>
      </c>
      <c r="B22" s="786" t="s">
        <v>856</v>
      </c>
      <c r="C22" s="786">
        <f ca="1">'EF ele_warmte'!B22</f>
        <v>0.22998102466793169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0.19862818595390613</v>
      </c>
      <c r="C17" s="524">
        <f ca="1">'EF ele_warmte'!B22</f>
        <v>0.22998102466793169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2019-08-12T08:34:05Z</dcterms:modified>
</cp:coreProperties>
</file>