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4"/>
  <c r="H25"/>
  <c r="H22"/>
  <c r="H28"/>
  <c r="H26"/>
  <c r="H30"/>
  <c r="H23"/>
  <c r="G23"/>
  <c r="G30"/>
  <c r="G32"/>
  <c r="G26"/>
  <c r="G29"/>
  <c r="G22"/>
  <c r="G24"/>
  <c r="G25"/>
  <c r="F30"/>
  <c r="F32"/>
  <c r="F24"/>
  <c r="F31"/>
  <c r="F27"/>
  <c r="F28"/>
  <c r="F29"/>
  <c r="E31"/>
  <c r="E29"/>
  <c r="E30"/>
  <c r="E28"/>
  <c r="E32"/>
  <c r="E24"/>
  <c r="M29"/>
  <c r="M32"/>
  <c r="M25"/>
  <c r="M22"/>
  <c r="M26"/>
  <c r="M24"/>
  <c r="M30"/>
  <c r="M23"/>
  <c r="L10" i="14"/>
  <c r="L16" s="1"/>
  <c r="L27" s="1"/>
  <c r="K5" i="48"/>
  <c r="L29"/>
  <c r="L32"/>
  <c r="L22"/>
  <c r="L31"/>
  <c r="L30"/>
  <c r="L27"/>
  <c r="L28"/>
  <c r="L24"/>
  <c r="Q10" i="14"/>
  <c r="P5" i="48"/>
  <c r="P23" s="1"/>
  <c r="K32"/>
  <c r="K24"/>
  <c r="K22"/>
  <c r="K30"/>
  <c r="K27"/>
  <c r="K31"/>
  <c r="K25"/>
  <c r="K26"/>
  <c r="K28"/>
  <c r="K29"/>
  <c r="B7"/>
  <c r="C24" i="14"/>
  <c r="C26" s="1"/>
  <c r="J15" i="16"/>
  <c r="P11" i="14"/>
  <c r="O4" i="48"/>
  <c r="I25"/>
  <c r="I31"/>
  <c r="I27"/>
  <c r="I29"/>
  <c r="I24"/>
  <c r="I28"/>
  <c r="I30"/>
  <c r="I22"/>
  <c r="I32"/>
  <c r="I26"/>
  <c r="C4"/>
  <c r="D11" i="14"/>
  <c r="B4" i="48"/>
  <c r="C11" i="14"/>
  <c r="N24" i="48"/>
  <c r="N31"/>
  <c r="N30"/>
  <c r="N32"/>
  <c r="N28"/>
  <c r="N27"/>
  <c r="N29"/>
  <c r="B10"/>
  <c r="C19" i="14"/>
  <c r="D30" i="48"/>
  <c r="D28"/>
  <c r="D24"/>
  <c r="D29"/>
  <c r="D31"/>
  <c r="D32"/>
  <c r="J29"/>
  <c r="J30"/>
  <c r="J32"/>
  <c r="J24"/>
  <c r="J31"/>
  <c r="J27"/>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K23"/>
  <c r="K33" s="1"/>
  <c r="K15"/>
  <c r="P22"/>
  <c r="E9"/>
  <c r="E27" s="1"/>
  <c r="F20" i="14"/>
  <c r="F22" s="1"/>
  <c r="Q13"/>
  <c r="Q16" s="1"/>
  <c r="Q27" s="1"/>
  <c r="P8" i="48"/>
  <c r="P26" s="1"/>
  <c r="O22"/>
  <c r="D9"/>
  <c r="D27" s="1"/>
  <c r="E20" i="14"/>
  <c r="E22" s="1"/>
  <c r="P10"/>
  <c r="O5" i="48"/>
  <c r="O23" s="1"/>
  <c r="B9"/>
  <c r="C20" i="14"/>
  <c r="C22" s="1"/>
  <c r="J7" i="48"/>
  <c r="J25" s="1"/>
  <c r="K24" i="14"/>
  <c r="K26" s="1"/>
  <c r="G11"/>
  <c r="F4" i="48"/>
  <c r="F22" s="1"/>
  <c r="I5"/>
  <c r="J10" i="14"/>
  <c r="J16" s="1"/>
  <c r="J27" s="1"/>
  <c r="J63"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N22" s="1"/>
  <c r="N27" s="1"/>
  <c r="M10" i="48"/>
  <c r="M28" s="1"/>
  <c r="H19" i="14"/>
  <c r="G10" i="48"/>
  <c r="E7"/>
  <c r="E25" s="1"/>
  <c r="F24" i="14"/>
  <c r="F26" s="1"/>
  <c r="P13"/>
  <c r="O8" i="48"/>
  <c r="O26" s="1"/>
  <c r="I23"/>
  <c r="I33" s="1"/>
  <c r="I15"/>
  <c r="M14" i="22"/>
  <c r="O15" i="48"/>
  <c r="P15"/>
  <c r="H14" i="22"/>
  <c r="O33" i="48"/>
  <c r="P33"/>
  <c r="Q63" i="14"/>
  <c r="P16"/>
  <c r="P27" s="1"/>
  <c r="I20"/>
  <c r="I22" s="1"/>
  <c r="I27" s="1"/>
  <c r="H9" i="48"/>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G28" i="48" l="1"/>
  <c r="Q10"/>
  <c r="E22"/>
  <c r="Q4"/>
  <c r="J22"/>
  <c r="G9"/>
  <c r="H20" i="14"/>
  <c r="H22" s="1"/>
  <c r="H27" s="1"/>
  <c r="J5" i="48"/>
  <c r="J23" s="1"/>
  <c r="K10" i="14"/>
  <c r="F10"/>
  <c r="E5" i="48"/>
  <c r="E23" s="1"/>
  <c r="R19" i="14"/>
  <c r="R11"/>
  <c r="M15" i="48"/>
  <c r="M27"/>
  <c r="M33" s="1"/>
  <c r="Q9"/>
  <c r="H15"/>
  <c r="H27"/>
  <c r="H33" s="1"/>
  <c r="N63" i="14"/>
  <c r="R20"/>
  <c r="R22" s="1"/>
  <c r="R24"/>
  <c r="R26" s="1"/>
  <c r="N18" i="16"/>
  <c r="E20" i="15"/>
  <c r="F40" i="14" s="1"/>
  <c r="F18" i="16"/>
  <c r="J18"/>
  <c r="E18"/>
  <c r="G18" i="22"/>
  <c r="H50" i="14" s="1"/>
  <c r="H52" s="1"/>
  <c r="H61" s="1"/>
  <c r="H63" s="1"/>
  <c r="H18" i="22"/>
  <c r="I50" i="14" s="1"/>
  <c r="I52" s="1"/>
  <c r="I61" s="1"/>
  <c r="I63" s="1"/>
  <c r="J8" i="48" l="1"/>
  <c r="J26" s="1"/>
  <c r="K13" i="14"/>
  <c r="K16" s="1"/>
  <c r="K27" s="1"/>
  <c r="K63" s="1"/>
  <c r="F13"/>
  <c r="F16" s="1"/>
  <c r="F27" s="1"/>
  <c r="F63" s="1"/>
  <c r="E8" i="48"/>
  <c r="G27"/>
  <c r="G33" s="1"/>
  <c r="G15"/>
  <c r="F46" i="14"/>
  <c r="F61" s="1"/>
  <c r="J33" i="48"/>
  <c r="J15"/>
  <c r="N8"/>
  <c r="N26" s="1"/>
  <c r="O13" i="14"/>
  <c r="F8" i="48"/>
  <c r="G13" i="14"/>
  <c r="E22" i="16"/>
  <c r="F43" i="14" s="1"/>
  <c r="F22" i="16"/>
  <c r="G43" i="14" s="1"/>
  <c r="N22" i="16"/>
  <c r="O43" i="14" s="1"/>
  <c r="J22" i="16"/>
  <c r="K43" i="14" s="1"/>
  <c r="K46" s="1"/>
  <c r="K61" s="1"/>
  <c r="E26" i="48" l="1"/>
  <c r="E33" s="1"/>
  <c r="E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<sst xmlns="http://schemas.openxmlformats.org/spreadsheetml/2006/main" count="2383" uniqueCount="881">
  <si>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</si>
  <si>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</si>
  <si>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</si>
  <si>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</si>
  <si>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</si>
  <si>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</si>
  <si>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</si>
  <si>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</si>
  <si>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</si>
  <si>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</si>
  <si>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</si>
  <si>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</si>
  <si>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</si>
  <si>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</si>
  <si>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</si>
  <si>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</si>
  <si>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</si>
  <si>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</si>
  <si>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</si>
  <si>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</si>
  <si>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</si>
  <si>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</si>
  <si>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</si>
  <si>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</si>
  <si>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</si>
  <si>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</si>
  <si>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</si>
  <si>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</si>
  <si>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</si>
  <si>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</si>
  <si>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</si>
  <si>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</si>
  <si>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</si>
  <si>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</si>
  <si>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</si>
  <si>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</si>
  <si>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</si>
  <si>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</si>
  <si>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</si>
  <si>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</si>
  <si>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</si>
  <si>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</si>
  <si>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</si>
  <si>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</si>
  <si>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</si>
  <si>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</si>
  <si>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</si>
  <si>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</si>
  <si>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</si>
  <si>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</si>
  <si>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</si>
  <si>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</si>
  <si>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</si>
  <si>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</si>
  <si>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</si>
  <si>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</si>
  <si>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</si>
  <si>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</si>
  <si>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</si>
  <si>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</si>
  <si>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</si>
  <si>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</si>
  <si>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</si>
  <si>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</si>
  <si>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</si>
  <si>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</si>
  <si>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</si>
  <si>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</si>
  <si>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</si>
  <si>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</si>
  <si>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</si>
  <si>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</si>
  <si>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</si>
  <si>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</si>
  <si>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</si>
  <si>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</si>
  <si>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</si>
  <si>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</si>
  <si>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</si>
  <si>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</si>
  <si>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</si>
  <si>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</si>
  <si>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</si>
  <si>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</si>
  <si>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</si>
  <si>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</si>
  <si>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</si>
  <si>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</si>
  <si>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</si>
  <si>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</si>
  <si>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</si>
  <si>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</si>
  <si>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</si>
  <si>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</si>
  <si>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</si>
  <si>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</si>
  <si>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</si>
  <si>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</si>
  <si>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</si>
  <si>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</si>
  <si>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</si>
  <si>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</si>
  <si>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</si>
  <si>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</si>
  <si>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</si>
  <si>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</si>
  <si>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</si>
  <si>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</si>
  <si>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</si>
  <si>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</si>
  <si>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</si>
  <si>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</si>
  <si>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</si>
  <si>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</si>
  <si>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</si>
  <si>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</si>
  <si>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</si>
  <si>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</si>
  <si>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</si>
  <si>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</si>
  <si>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</si>
  <si>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</si>
  <si>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</si>
  <si>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</si>
  <si>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</si>
  <si>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</si>
  <si>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</si>
  <si>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</si>
  <si>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</si>
  <si>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</si>
  <si>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</si>
  <si>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</si>
  <si>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</si>
  <si>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</si>
  <si>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</si>
  <si>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</si>
  <si>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</si>
  <si>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</si>
  <si>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</si>
  <si>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</si>
  <si>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</si>
  <si>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</si>
  <si>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</si>
  <si>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</si>
  <si>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</si>
  <si>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</si>
  <si>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</si>
  <si>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</si>
  <si>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</si>
  <si>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</si>
  <si>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</si>
  <si>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</si>
  <si>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</si>
  <si>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</si>
  <si>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</si>
  <si>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</si>
  <si>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</si>
  <si>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</si>
  <si>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</si>
  <si>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</si>
  <si>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</si>
  <si>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</si>
  <si>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</si>
  <si>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</si>
  <si>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</si>
  <si>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</si>
  <si>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</si>
  <si>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</si>
  <si>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</si>
  <si>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</si>
  <si>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</si>
  <si>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</si>
  <si>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</si>
  <si>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</si>
  <si>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</si>
  <si>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</si>
  <si>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</si>
  <si>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</si>
  <si>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</si>
  <si>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</si>
  <si>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</si>
  <si>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</si>
  <si>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</si>
  <si>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</si>
  <si>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</si>
  <si>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</si>
  <si>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</si>
  <si>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</si>
  <si>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</si>
  <si>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</si>
  <si>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</si>
  <si>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</si>
  <si>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</si>
  <si>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</si>
  <si>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</si>
  <si>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</si>
  <si>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</si>
  <si>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</si>
  <si>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</si>
  <si>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</si>
  <si>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</si>
  <si>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</si>
  <si>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</si>
  <si>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</si>
  <si>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</si>
  <si>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</si>
  <si>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</si>
  <si>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</si>
  <si>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</si>
  <si>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</si>
  <si>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</si>
  <si>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</si>
  <si>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</si>
  <si>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</si>
  <si>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</si>
  <si>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</si>
  <si>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</si>
  <si>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</si>
  <si>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</si>
  <si>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</si>
  <si>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</si>
  <si>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</si>
  <si>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</si>
  <si>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</si>
  <si>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</si>
  <si>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</si>
  <si>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</si>
  <si>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</si>
  <si>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</si>
  <si>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</si>
  <si>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</si>
  <si>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</si>
  <si>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</si>
  <si>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</si>
  <si>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</si>
  <si>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</si>
  <si>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</si>
  <si>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</si>
  <si>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</si>
  <si>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</si>
  <si>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</si>
  <si>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</si>
  <si>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</si>
  <si>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</si>
  <si>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</si>
  <si>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</si>
  <si>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</si>
  <si>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</si>
  <si>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</si>
  <si>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</si>
  <si>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</si>
  <si>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</si>
  <si>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</si>
  <si>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</si>
  <si>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</si>
  <si>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</si>
  <si>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</si>
  <si>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</si>
  <si>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</si>
  <si>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</si>
  <si>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</si>
  <si>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</si>
  <si>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</si>
  <si>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</si>
  <si>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</si>
  <si>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</si>
  <si>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</si>
  <si>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</si>
  <si>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</si>
  <si>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</si>
  <si>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</si>
  <si>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</si>
  <si>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</si>
  <si>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</si>
  <si>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</si>
  <si>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</si>
  <si>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</si>
  <si>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</si>
  <si>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</si>
  <si>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</si>
  <si>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</si>
  <si>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</si>
  <si>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</si>
  <si>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</si>
  <si>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</si>
  <si>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</si>
  <si>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</si>
  <si>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</si>
  <si>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</si>
  <si>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</si>
  <si>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</si>
  <si>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</si>
  <si>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</si>
  <si>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</si>
  <si>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</si>
  <si>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</si>
  <si>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</si>
  <si>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</si>
  <si>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</si>
  <si>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</si>
  <si>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</si>
  <si>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</si>
  <si>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</si>
  <si>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</si>
  <si>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</si>
  <si>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</si>
  <si>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</si>
  <si>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</si>
  <si>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</si>
  <si>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</si>
  <si>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</si>
  <si>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</si>
  <si>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</si>
  <si>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</si>
  <si>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</si>
  <si>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</si>
  <si>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</si>
  <si>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</si>
  <si>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</si>
  <si>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</si>
  <si>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</si>
  <si>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</si>
  <si>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</si>
  <si>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</si>
  <si>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</si>
  <si>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</si>
  <si>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</si>
  <si>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</si>
  <si>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</si>
  <si>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</si>
  <si>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</si>
  <si>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</si>
  <si>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</si>
  <si>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</si>
  <si>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</si>
  <si>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</si>
  <si>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</si>
  <si>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</si>
  <si>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</si>
  <si>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</si>
  <si>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</si>
  <si>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</si>
  <si>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</si>
  <si>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</si>
  <si>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</si>
  <si>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</si>
  <si>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</si>
  <si>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</si>
  <si>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</si>
  <si>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</si>
  <si>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</si>
  <si>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</si>
  <si>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</si>
  <si>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</si>
  <si>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</si>
  <si>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</si>
  <si>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</si>
  <si>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</si>
  <si>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</si>
  <si>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</si>
  <si>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</si>
  <si>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</si>
  <si>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</si>
  <si>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</si>
  <si>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</si>
  <si>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</si>
  <si>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</si>
  <si>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</si>
  <si>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</si>
  <si>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</si>
  <si>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</si>
  <si>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</si>
  <si>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</si>
  <si>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</si>
  <si>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</si>
  <si>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</si>
  <si>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</si>
  <si>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</si>
  <si>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</si>
  <si>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</si>
  <si>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</si>
  <si>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</si>
  <si>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</si>
  <si>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</si>
  <si>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</si>
  <si>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</si>
  <si>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</si>
  <si>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</si>
  <si>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</si>
  <si>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</si>
  <si>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</si>
  <si>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</si>
  <si>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</si>
  <si>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</si>
  <si>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</si>
  <si>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</si>
  <si>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</si>
  <si>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</si>
  <si>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</si>
  <si>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</si>
  <si>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</si>
  <si>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</si>
  <si>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</si>
  <si>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</si>
  <si>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</si>
  <si>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</si>
  <si>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</si>
  <si>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</si>
  <si>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</si>
  <si>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</si>
  <si>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</si>
  <si>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</si>
  <si>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</si>
  <si>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</si>
  <si>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</si>
  <si>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</si>
  <si>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</si>
  <si>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</si>
  <si>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</si>
  <si>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</si>
  <si>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</si>
  <si>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</si>
  <si>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</si>
  <si>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</si>
  <si>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</si>
  <si>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</si>
  <si>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</si>
  <si>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</si>
  <si>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</si>
  <si>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</si>
  <si>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</si>
  <si>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</si>
  <si>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</si>
  <si>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</si>
  <si>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</si>
  <si>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</si>
  <si>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</si>
  <si>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</si>
  <si>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</si>
  <si>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</si>
  <si>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</si>
  <si>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</si>
  <si>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</si>
  <si>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</si>
  <si>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</si>
  <si>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</si>
  <si>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</si>
  <si>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</si>
  <si>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</si>
  <si>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</si>
  <si>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</si>
  <si>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</si>
  <si>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</si>
  <si>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</si>
  <si>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</si>
  <si>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</si>
  <si>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</si>
  <si>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</si>
  <si>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</si>
  <si>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</si>
  <si>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</si>
  <si>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</si>
  <si>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</si>
  <si>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</si>
  <si>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</si>
  <si>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</si>
  <si>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</si>
  <si>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</si>
  <si>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</si>
  <si>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</si>
  <si>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</si>
  <si>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</si>
  <si>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</si>
  <si>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</si>
  <si>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</si>
  <si>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</si>
  <si>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</si>
  <si>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</si>
  <si>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</si>
  <si>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</si>
  <si>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</si>
  <si>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</si>
  <si>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</si>
  <si>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</si>
  <si>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</si>
  <si>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</si>
  <si>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</si>
  <si>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</si>
  <si>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</si>
  <si>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</si>
  <si>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</si>
  <si>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</si>
  <si>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</si>
  <si>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</si>
  <si>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</si>
  <si>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</si>
  <si>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</si>
  <si>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</si>
  <si>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</si>
  <si>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</si>
  <si>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</si>
  <si>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</si>
  <si>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</si>
  <si>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</si>
  <si>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</si>
  <si>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</si>
  <si>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</si>
  <si>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</si>
  <si>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</si>
  <si>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</si>
  <si>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</si>
  <si>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</si>
  <si>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</si>
  <si>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</si>
  <si>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</si>
  <si>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</si>
  <si>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</si>
  <si>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</si>
  <si>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</si>
  <si>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</si>
  <si>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</si>
  <si>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</si>
  <si>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</si>
  <si>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</si>
  <si>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</si>
  <si>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</si>
  <si>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</si>
  <si>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</si>
  <si>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</si>
  <si>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</si>
  <si>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</si>
  <si>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</si>
  <si>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</si>
  <si>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</si>
  <si>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</si>
  <si>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</si>
  <si>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</si>
  <si>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</si>
  <si>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</si>
  <si>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</si>
  <si>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</si>
  <si>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</si>
  <si>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</si>
  <si>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</si>
  <si>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</si>
  <si>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</si>
  <si>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</si>
  <si>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</si>
  <si>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</si>
  <si>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</si>
  <si>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</si>
  <si>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</si>
  <si>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</si>
  <si>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</si>
  <si>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</si>
  <si>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</si>
  <si>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</si>
  <si>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</si>
  <si>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</si>
  <si>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</si>
  <si>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</si>
  <si>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</si>
  <si>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</si>
  <si>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</si>
  <si>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</si>
  <si>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</si>
  <si>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</si>
  <si>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</si>
  <si>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</si>
  <si>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</si>
  <si>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</si>
  <si>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</si>
  <si>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</si>
  <si>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</si>
  <si>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</si>
  <si>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</si>
  <si>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</si>
  <si>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</si>
  <si>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</si>
  <si>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</si>
  <si>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</si>
  <si>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</si>
  <si>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</si>
  <si>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</si>
  <si>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</si>
  <si>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</si>
  <si>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</si>
  <si>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</si>
  <si>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</si>
  <si>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</si>
  <si>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</si>
  <si>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</si>
  <si>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</si>
  <si>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</si>
  <si>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</si>
  <si>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</si>
  <si>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</si>
  <si>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</si>
  <si>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</si>
  <si>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</si>
  <si>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</si>
  <si>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</si>
  <si>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</si>
  <si>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</si>
  <si>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</si>
  <si>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</si>
  <si>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</si>
  <si>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</si>
  <si>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</si>
  <si>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</si>
  <si>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</si>
  <si>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</si>
  <si>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</si>
  <si>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</si>
  <si>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</si>
  <si>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</si>
  <si>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</si>
  <si>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</si>
  <si>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</si>
  <si>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</si>
  <si>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</si>
  <si>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</si>
  <si>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</si>
  <si>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</si>
  <si>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</si>
  <si>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</si>
  <si>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</si>
  <si>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</si>
  <si>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</si>
  <si>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</si>
  <si>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</si>
  <si>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</si>
  <si>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</si>
  <si>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</si>
  <si>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</si>
  <si>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</si>
  <si>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</si>
  <si>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</si>
  <si>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</si>
  <si>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</si>
  <si>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</si>
  <si>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</si>
  <si>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</si>
  <si>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</si>
  <si>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</si>
  <si>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</si>
  <si>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</si>
  <si>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</si>
  <si>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</si>
  <si>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</si>
  <si>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</si>
  <si>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</si>
  <si>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</si>
  <si>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</si>
  <si>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</si>
  <si>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</si>
  <si>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</si>
  <si>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</si>
  <si>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</si>
  <si>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</si>
  <si>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</si>
  <si>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</si>
  <si>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</si>
  <si>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</si>
  <si>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</si>
  <si>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</si>
  <si>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</si>
  <si>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</si>
  <si>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</si>
  <si>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</si>
  <si>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</si>
  <si>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</si>
  <si>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</si>
  <si>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</si>
  <si>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</si>
  <si>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</si>
  <si>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</si>
  <si>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</si>
  <si>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</si>
  <si>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</si>
  <si>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</si>
  <si>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</si>
  <si>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</si>
  <si>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</si>
  <si>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</si>
  <si>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</si>
  <si>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</si>
  <si>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</si>
  <si>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</si>
  <si>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</si>
  <si>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</si>
  <si>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</si>
  <si>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</si>
  <si>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</si>
  <si>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</si>
  <si>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</si>
  <si>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</si>
  <si>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</si>
  <si>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</si>
  <si>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</si>
  <si>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</si>
  <si>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</si>
  <si>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</si>
  <si>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</si>
  <si>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</si>
  <si>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</si>
  <si>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</si>
  <si>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</si>
  <si>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</si>
  <si>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</si>
  <si>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</si>
  <si>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</si>
  <si>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</si>
  <si>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</si>
  <si>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</si>
  <si>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</si>
  <si>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</si>
  <si>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</si>
  <si>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</si>
  <si>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</si>
  <si>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</si>
  <si>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</si>
  <si>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</si>
  <si>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</si>
  <si>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</si>
  <si>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</si>
  <si>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</si>
  <si>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</si>
  <si>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</si>
  <si>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</si>
  <si>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</si>
  <si>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</si>
  <si>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</si>
  <si>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</si>
  <si>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</si>
  <si>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</si>
  <si>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</si>
  <si>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</si>
  <si>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</si>
  <si>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</si>
  <si>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</si>
  <si>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</si>
  <si>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</si>
  <si>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</si>
  <si>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</si>
  <si>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</si>
  <si>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</si>
  <si>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</si>
  <si>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</si>
  <si>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</si>
  <si>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</si>
  <si>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</si>
  <si>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</si>
  <si>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</si>
  <si>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</si>
  <si>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</si>
  <si>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</si>
  <si>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</si>
  <si>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</si>
  <si>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</si>
  <si>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</si>
  <si>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</si>
  <si>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</si>
  <si>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</si>
  <si>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</si>
  <si>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</si>
  <si>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</si>
  <si>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</si>
  <si>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</si>
  <si>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</si>
  <si>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</si>
  <si>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</si>
  <si>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</si>
  <si>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</si>
  <si>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</si>
  <si>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</si>
  <si>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</si>
  <si>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</si>
  <si>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</si>
  <si>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</si>
  <si>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</si>
  <si>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</si>
  <si>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</si>
  <si>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</si>
  <si>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</si>
  <si>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</si>
  <si>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</si>
  <si>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</si>
  <si>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</si>
  <si>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</si>
  <si>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</si>
  <si>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</si>
  <si>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</si>
  <si>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</si>
  <si>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</si>
  <si>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</si>
  <si>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</si>
  <si>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</si>
  <si>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</si>
  <si>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</si>
  <si>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</si>
  <si>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</si>
  <si>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</si>
  <si>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</si>
  <si>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</si>
  <si>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</si>
  <si>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</si>
  <si>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</si>
  <si>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</si>
  <si>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</si>
  <si>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</si>
  <si>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</si>
  <si>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</si>
  <si>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</si>
  <si>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</si>
  <si>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</si>
  <si>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</si>
  <si>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</si>
  <si>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</si>
  <si>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</si>
  <si>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</si>
  <si>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</si>
  <si>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</si>
  <si>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</si>
  <si>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</si>
  <si>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</si>
  <si>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</si>
  <si>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</si>
  <si>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</si>
  <si>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</si>
  <si>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</si>
  <si>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</si>
  <si>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</si>
  <si>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</si>
  <si>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</si>
  <si>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</si>
  <si>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</si>
  <si>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</si>
  <si>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</si>
  <si>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</si>
  <si>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</si>
  <si>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</si>
  <si>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</si>
  <si>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</si>
  <si>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</si>
  <si>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</si>
  <si>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</si>
  <si>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</si>
  <si>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</si>
  <si>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</si>
  <si>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</si>
  <si>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</si>
  <si>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</si>
  <si>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</si>
  <si>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</si>
  <si>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</si>
  <si>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</si>
  <si>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</si>
  <si>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</si>
  <si>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</si>
  <si>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</si>
  <si>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</si>
  <si>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</si>
  <si>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</si>
  <si>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</si>
  <si>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</si>
  <si>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</si>
  <si>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</si>
  <si>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</si>
  <si>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</si>
  <si>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</si>
  <si>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</si>
  <si>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</si>
  <si>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38016</t>
  </si>
  <si>
    <t>NIEUWPOORT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</si>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</sst>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80208.269626733469</c:v>
                </c:pt>
                <c:pt idx="1">
                  <c:v>87573.496100604054</c:v>
                </c:pt>
                <c:pt idx="2">
                  <c:v>1041.7080000000001</c:v>
                </c:pt>
                <c:pt idx="3">
                  <c:v>6581.2469599223032</c:v>
                </c:pt>
                <c:pt idx="4">
                  <c:v>14555.921742712768</c:v>
                </c:pt>
                <c:pt idx="5">
                  <c:v>131150.11163499186</c:v>
                </c:pt>
                <c:pt idx="6">
                  <c:v>1508.6460630992724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52544"/>
        <c:axId val="175454080"/>
      </c:barChart>
      <c:catAx>
        <c:axId val="175452544"/>
        <c:scaling>
          <c:orientation val="minMax"/>
        </c:scaling>
        <c:axPos val="b"/>
        <c:numFmt formatCode="General" sourceLinked="0"/>
        <c:tickLblPos val="nextTo"/>
        <c:crossAx val="175454080"/>
        <c:crosses val="autoZero"/>
        <c:auto val="1"/>
        <c:lblAlgn val="ctr"/>
        <c:lblOffset val="100"/>
      </c:catAx>
      <c:valAx>
        <c:axId val="175454080"/>
        <c:scaling>
          <c:orientation val="minMax"/>
        </c:scaling>
        <c:axPos val="l"/>
        <c:majorGridlines>
          <c:spPr>
            <a:ln>
              <a:noFill/>
            </a:ln>
          </c:spPr>
        </c:majorGridlines>
        <c:numFmt formatCode="#,##0" sourceLinked="1"/>
        <c:tickLblPos val="nextTo"/>
        <c:crossAx val="17545254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80208.269626733469</c:v>
                </c:pt>
                <c:pt idx="1">
                  <c:v>87573.496100604054</c:v>
                </c:pt>
                <c:pt idx="2">
                  <c:v>1041.7080000000001</c:v>
                </c:pt>
                <c:pt idx="3">
                  <c:v>6581.2469599223032</c:v>
                </c:pt>
                <c:pt idx="4">
                  <c:v>14555.921742712768</c:v>
                </c:pt>
                <c:pt idx="5">
                  <c:v>131150.11163499186</c:v>
                </c:pt>
                <c:pt idx="6">
                  <c:v>1508.6460630992724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15615.046387270226</c:v>
                </c:pt>
                <c:pt idx="2">
                  <c:v>18001.716005963983</c:v>
                </c:pt>
                <c:pt idx="3">
                  <c:v>225.53605067442095</c:v>
                </c:pt>
                <c:pt idx="4">
                  <c:v>1699.8657547742127</c:v>
                </c:pt>
                <c:pt idx="5">
                  <c:v>2920.8615397888748</c:v>
                </c:pt>
                <c:pt idx="6">
                  <c:v>32897.596561304439</c:v>
                </c:pt>
                <c:pt idx="7">
                  <c:v>351.27955924724108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55552"/>
        <c:axId val="175665536"/>
      </c:barChart>
      <c:catAx>
        <c:axId val="175655552"/>
        <c:scaling>
          <c:orientation val="minMax"/>
        </c:scaling>
        <c:axPos val="b"/>
        <c:numFmt formatCode="General" sourceLinked="0"/>
        <c:tickLblPos val="nextTo"/>
        <c:crossAx val="175665536"/>
        <c:crosses val="autoZero"/>
        <c:auto val="1"/>
        <c:lblAlgn val="ctr"/>
        <c:lblOffset val="100"/>
      </c:catAx>
      <c:valAx>
        <c:axId val="175665536"/>
        <c:scaling>
          <c:orientation val="minMax"/>
        </c:scaling>
        <c:axPos val="l"/>
        <c:majorGridlines>
          <c:spPr>
            <a:ln>
              <a:noFill/>
            </a:ln>
          </c:spPr>
        </c:majorGridlines>
        <c:numFmt formatCode="#,##0" sourceLinked="1"/>
        <c:tickLblPos val="nextTo"/>
        <c:crossAx val="17565555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15615.046387270226</c:v>
                </c:pt>
                <c:pt idx="2">
                  <c:v>18001.716005963983</c:v>
                </c:pt>
                <c:pt idx="3">
                  <c:v>225.53605067442095</c:v>
                </c:pt>
                <c:pt idx="4">
                  <c:v>1699.8657547742127</c:v>
                </c:pt>
                <c:pt idx="5">
                  <c:v>2920.8615397888748</c:v>
                </c:pt>
                <c:pt idx="6">
                  <c:v>32897.596561304439</c:v>
                </c:pt>
                <c:pt idx="7">
                  <c:v>351.27955924724108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38016</v>
      </c>
      <c r="B6" s="415"/>
      <c r="C6" s="416"/>
    </row>
    <row r="7" spans="1:7" s="413" customFormat="1" ht="15.75" customHeight="1">
      <c r="A7" s="417" t="str">
        <f>txtMunicipality</f>
        <v>NIEUWPOORT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0.21650601768866221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0.21650601768866221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38016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5863</v>
      </c>
      <c r="C9" s="342">
        <v>6006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1934.82</v>
      </c>
    </row>
    <row r="15" spans="1:6">
      <c r="A15" s="348" t="s">
        <v>184</v>
      </c>
      <c r="B15" s="334">
        <v>19</v>
      </c>
    </row>
    <row r="16" spans="1:6">
      <c r="A16" s="348" t="s">
        <v>6</v>
      </c>
      <c r="B16" s="334">
        <v>827</v>
      </c>
    </row>
    <row r="17" spans="1:6">
      <c r="A17" s="348" t="s">
        <v>7</v>
      </c>
      <c r="B17" s="334">
        <v>553</v>
      </c>
    </row>
    <row r="18" spans="1:6">
      <c r="A18" s="348" t="s">
        <v>8</v>
      </c>
      <c r="B18" s="334">
        <v>912</v>
      </c>
    </row>
    <row r="19" spans="1:6">
      <c r="A19" s="348" t="s">
        <v>9</v>
      </c>
      <c r="B19" s="334">
        <v>1458</v>
      </c>
    </row>
    <row r="20" spans="1:6">
      <c r="A20" s="348" t="s">
        <v>10</v>
      </c>
      <c r="B20" s="334">
        <v>367</v>
      </c>
    </row>
    <row r="21" spans="1:6">
      <c r="A21" s="348" t="s">
        <v>11</v>
      </c>
      <c r="B21" s="334">
        <v>3092</v>
      </c>
    </row>
    <row r="22" spans="1:6">
      <c r="A22" s="348" t="s">
        <v>12</v>
      </c>
      <c r="B22" s="334">
        <v>8942</v>
      </c>
    </row>
    <row r="23" spans="1:6">
      <c r="A23" s="348" t="s">
        <v>13</v>
      </c>
      <c r="B23" s="334">
        <v>105</v>
      </c>
    </row>
    <row r="24" spans="1:6">
      <c r="A24" s="348" t="s">
        <v>14</v>
      </c>
      <c r="B24" s="334">
        <v>5</v>
      </c>
    </row>
    <row r="25" spans="1:6">
      <c r="A25" s="348" t="s">
        <v>15</v>
      </c>
      <c r="B25" s="334">
        <v>735</v>
      </c>
    </row>
    <row r="26" spans="1:6">
      <c r="A26" s="348" t="s">
        <v>16</v>
      </c>
      <c r="B26" s="334">
        <v>955</v>
      </c>
    </row>
    <row r="27" spans="1:6">
      <c r="A27" s="348" t="s">
        <v>17</v>
      </c>
      <c r="B27" s="334">
        <v>0</v>
      </c>
    </row>
    <row r="28" spans="1:6" s="356" customFormat="1">
      <c r="A28" s="355" t="s">
        <v>18</v>
      </c>
      <c r="B28" s="355">
        <v>54479</v>
      </c>
    </row>
    <row r="29" spans="1:6">
      <c r="A29" s="355" t="s">
        <v>744</v>
      </c>
      <c r="B29" s="355">
        <v>63</v>
      </c>
      <c r="C29" s="356"/>
      <c r="D29" s="356"/>
      <c r="E29" s="356"/>
      <c r="F29" s="356"/>
    </row>
    <row r="30" spans="1:6">
      <c r="A30" s="341" t="s">
        <v>745</v>
      </c>
      <c r="B30" s="341">
        <v>105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31205.416459571799</v>
      </c>
    </row>
    <row r="37" spans="1:6">
      <c r="A37" s="348" t="s">
        <v>25</v>
      </c>
      <c r="B37" s="348" t="s">
        <v>28</v>
      </c>
      <c r="C37" s="334">
        <v>0</v>
      </c>
      <c r="D37" s="334">
        <v>0</v>
      </c>
      <c r="E37" s="334">
        <v>0</v>
      </c>
      <c r="F37" s="334">
        <v>0</v>
      </c>
    </row>
    <row r="38" spans="1:6">
      <c r="A38" s="348" t="s">
        <v>25</v>
      </c>
      <c r="B38" s="348" t="s">
        <v>29</v>
      </c>
      <c r="C38" s="334">
        <v>3</v>
      </c>
      <c r="D38" s="334">
        <v>444812.58197167702</v>
      </c>
      <c r="E38" s="334">
        <v>2</v>
      </c>
      <c r="F38" s="334">
        <v>13996.6002577284</v>
      </c>
    </row>
    <row r="39" spans="1:6">
      <c r="A39" s="348" t="s">
        <v>30</v>
      </c>
      <c r="B39" s="348" t="s">
        <v>31</v>
      </c>
      <c r="C39" s="334">
        <v>4439</v>
      </c>
      <c r="D39" s="334">
        <v>52140861.214926802</v>
      </c>
      <c r="E39" s="334">
        <v>11137</v>
      </c>
      <c r="F39" s="334">
        <v>25802246.151521601</v>
      </c>
    </row>
    <row r="40" spans="1:6">
      <c r="A40" s="348" t="s">
        <v>30</v>
      </c>
      <c r="B40" s="348" t="s">
        <v>29</v>
      </c>
      <c r="C40" s="334">
        <v>0</v>
      </c>
      <c r="D40" s="334">
        <v>0</v>
      </c>
      <c r="E40" s="334">
        <v>0</v>
      </c>
      <c r="F40" s="334">
        <v>0</v>
      </c>
    </row>
    <row r="41" spans="1:6">
      <c r="A41" s="348" t="s">
        <v>32</v>
      </c>
      <c r="B41" s="348" t="s">
        <v>33</v>
      </c>
      <c r="C41" s="334">
        <v>115</v>
      </c>
      <c r="D41" s="334">
        <v>1448890.27830072</v>
      </c>
      <c r="E41" s="334">
        <v>293</v>
      </c>
      <c r="F41" s="334">
        <v>2193013.8259790302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254575.74010459299</v>
      </c>
      <c r="E44" s="334">
        <v>17</v>
      </c>
      <c r="F44" s="334">
        <v>220163.97844902301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2013217.1792345101</v>
      </c>
      <c r="E48" s="334">
        <v>44</v>
      </c>
      <c r="F48" s="334">
        <v>2636546.7463892698</v>
      </c>
    </row>
    <row r="49" spans="1:6">
      <c r="A49" s="348" t="s">
        <v>32</v>
      </c>
      <c r="B49" s="348" t="s">
        <v>40</v>
      </c>
      <c r="C49" s="334">
        <v>0</v>
      </c>
      <c r="D49" s="334">
        <v>0</v>
      </c>
      <c r="E49" s="334">
        <v>0</v>
      </c>
      <c r="F49" s="334">
        <v>0</v>
      </c>
    </row>
    <row r="50" spans="1:6">
      <c r="A50" s="348" t="s">
        <v>32</v>
      </c>
      <c r="B50" s="348" t="s">
        <v>41</v>
      </c>
      <c r="C50" s="334">
        <v>8</v>
      </c>
      <c r="D50" s="334">
        <v>1177795.4988096701</v>
      </c>
      <c r="E50" s="334">
        <v>21</v>
      </c>
      <c r="F50" s="334">
        <v>589572.00015848596</v>
      </c>
    </row>
    <row r="51" spans="1:6">
      <c r="A51" s="348" t="s">
        <v>42</v>
      </c>
      <c r="B51" s="348" t="s">
        <v>43</v>
      </c>
      <c r="C51" s="334">
        <v>3</v>
      </c>
      <c r="D51" s="334">
        <v>35134.348884897197</v>
      </c>
      <c r="E51" s="334">
        <v>78</v>
      </c>
      <c r="F51" s="334">
        <v>1168958.2124821399</v>
      </c>
    </row>
    <row r="52" spans="1:6">
      <c r="A52" s="348" t="s">
        <v>42</v>
      </c>
      <c r="B52" s="348" t="s">
        <v>29</v>
      </c>
      <c r="C52" s="334">
        <v>4</v>
      </c>
      <c r="D52" s="334">
        <v>141362.481144883</v>
      </c>
      <c r="E52" s="334">
        <v>5</v>
      </c>
      <c r="F52" s="334">
        <v>33623.287015880502</v>
      </c>
    </row>
    <row r="53" spans="1:6">
      <c r="A53" s="348" t="s">
        <v>44</v>
      </c>
      <c r="B53" s="348" t="s">
        <v>45</v>
      </c>
      <c r="C53" s="334">
        <v>750</v>
      </c>
      <c r="D53" s="334">
        <v>9133764.6395192109</v>
      </c>
      <c r="E53" s="334">
        <v>3077</v>
      </c>
      <c r="F53" s="334">
        <v>10288164.999943901</v>
      </c>
    </row>
    <row r="54" spans="1:6">
      <c r="A54" s="348" t="s">
        <v>46</v>
      </c>
      <c r="B54" s="348" t="s">
        <v>47</v>
      </c>
      <c r="C54" s="334">
        <v>0</v>
      </c>
      <c r="D54" s="334">
        <v>0</v>
      </c>
      <c r="E54" s="334">
        <v>1</v>
      </c>
      <c r="F54" s="334">
        <v>1041708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45</v>
      </c>
      <c r="D57" s="334">
        <v>4239058.9069057703</v>
      </c>
      <c r="E57" s="334">
        <v>100</v>
      </c>
      <c r="F57" s="334">
        <v>3101033.0791283501</v>
      </c>
    </row>
    <row r="58" spans="1:6">
      <c r="A58" s="348" t="s">
        <v>49</v>
      </c>
      <c r="B58" s="348" t="s">
        <v>51</v>
      </c>
      <c r="C58" s="334">
        <v>26</v>
      </c>
      <c r="D58" s="334">
        <v>407576.41368526203</v>
      </c>
      <c r="E58" s="334">
        <v>66</v>
      </c>
      <c r="F58" s="334">
        <v>1830236.7272503399</v>
      </c>
    </row>
    <row r="59" spans="1:6">
      <c r="A59" s="348" t="s">
        <v>49</v>
      </c>
      <c r="B59" s="348" t="s">
        <v>52</v>
      </c>
      <c r="C59" s="334">
        <v>178</v>
      </c>
      <c r="D59" s="334">
        <v>5747052.2967553902</v>
      </c>
      <c r="E59" s="334">
        <v>569</v>
      </c>
      <c r="F59" s="334">
        <v>9557909.4824968409</v>
      </c>
    </row>
    <row r="60" spans="1:6">
      <c r="A60" s="348" t="s">
        <v>49</v>
      </c>
      <c r="B60" s="348" t="s">
        <v>53</v>
      </c>
      <c r="C60" s="334">
        <v>152</v>
      </c>
      <c r="D60" s="334">
        <v>12362401.6193597</v>
      </c>
      <c r="E60" s="334">
        <v>219</v>
      </c>
      <c r="F60" s="334">
        <v>6871876.2924060998</v>
      </c>
    </row>
    <row r="61" spans="1:6">
      <c r="A61" s="348" t="s">
        <v>49</v>
      </c>
      <c r="B61" s="348" t="s">
        <v>54</v>
      </c>
      <c r="C61" s="334">
        <v>282</v>
      </c>
      <c r="D61" s="334">
        <v>11391844.307942901</v>
      </c>
      <c r="E61" s="334">
        <v>1436</v>
      </c>
      <c r="F61" s="334">
        <v>10867415.939052099</v>
      </c>
    </row>
    <row r="62" spans="1:6">
      <c r="A62" s="348" t="s">
        <v>49</v>
      </c>
      <c r="B62" s="348" t="s">
        <v>55</v>
      </c>
      <c r="C62" s="334">
        <v>3</v>
      </c>
      <c r="D62" s="334">
        <v>168768.35724203201</v>
      </c>
      <c r="E62" s="334">
        <v>10</v>
      </c>
      <c r="F62" s="334">
        <v>226805.69674189799</v>
      </c>
    </row>
    <row r="63" spans="1:6">
      <c r="A63" s="348" t="s">
        <v>49</v>
      </c>
      <c r="B63" s="348" t="s">
        <v>29</v>
      </c>
      <c r="C63" s="334">
        <v>92</v>
      </c>
      <c r="D63" s="334">
        <v>12236569.161196399</v>
      </c>
      <c r="E63" s="334">
        <v>107</v>
      </c>
      <c r="F63" s="334">
        <v>3504004.19080756</v>
      </c>
    </row>
    <row r="64" spans="1:6">
      <c r="A64" s="348" t="s">
        <v>56</v>
      </c>
      <c r="B64" s="348" t="s">
        <v>57</v>
      </c>
      <c r="C64" s="334">
        <v>0</v>
      </c>
      <c r="D64" s="334">
        <v>0</v>
      </c>
      <c r="E64" s="334">
        <v>0</v>
      </c>
      <c r="F64" s="334">
        <v>0</v>
      </c>
    </row>
    <row r="65" spans="1:6">
      <c r="A65" s="348" t="s">
        <v>56</v>
      </c>
      <c r="B65" s="348" t="s">
        <v>29</v>
      </c>
      <c r="C65" s="334">
        <v>4</v>
      </c>
      <c r="D65" s="334">
        <v>79179.319231712099</v>
      </c>
      <c r="E65" s="334">
        <v>3</v>
      </c>
      <c r="F65" s="334">
        <v>3877.1256981675001</v>
      </c>
    </row>
    <row r="66" spans="1:6">
      <c r="A66" s="348" t="s">
        <v>56</v>
      </c>
      <c r="B66" s="348" t="s">
        <v>58</v>
      </c>
      <c r="C66" s="334">
        <v>0</v>
      </c>
      <c r="D66" s="334">
        <v>0</v>
      </c>
      <c r="E66" s="334">
        <v>22</v>
      </c>
      <c r="F66" s="334">
        <v>568149.01981825102</v>
      </c>
    </row>
    <row r="67" spans="1:6">
      <c r="A67" s="355" t="s">
        <v>56</v>
      </c>
      <c r="B67" s="355" t="s">
        <v>59</v>
      </c>
      <c r="C67" s="334">
        <v>0</v>
      </c>
      <c r="D67" s="334">
        <v>0</v>
      </c>
      <c r="E67" s="334">
        <v>0</v>
      </c>
      <c r="F67" s="334">
        <v>0</v>
      </c>
    </row>
    <row r="68" spans="1:6">
      <c r="A68" s="341" t="s">
        <v>56</v>
      </c>
      <c r="B68" s="341" t="s">
        <v>60</v>
      </c>
      <c r="C68" s="334">
        <v>0</v>
      </c>
      <c r="D68" s="334">
        <v>0</v>
      </c>
      <c r="E68" s="334">
        <v>12</v>
      </c>
      <c r="F68" s="334">
        <v>1779114.6523710201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52185899</v>
      </c>
      <c r="E73" s="475">
        <v>52841725.716376945</v>
      </c>
    </row>
    <row r="74" spans="1:6">
      <c r="A74" s="348" t="s">
        <v>64</v>
      </c>
      <c r="B74" s="348" t="s">
        <v>657</v>
      </c>
      <c r="C74" s="1295" t="s">
        <v>659</v>
      </c>
      <c r="D74" s="475">
        <v>5832859.5</v>
      </c>
      <c r="E74" s="475">
        <v>5554643.079680942</v>
      </c>
    </row>
    <row r="75" spans="1:6">
      <c r="A75" s="348" t="s">
        <v>65</v>
      </c>
      <c r="B75" s="348" t="s">
        <v>656</v>
      </c>
      <c r="C75" s="1295" t="s">
        <v>660</v>
      </c>
      <c r="D75" s="475">
        <v>5003015</v>
      </c>
      <c r="E75" s="475">
        <v>5192836.465523296</v>
      </c>
    </row>
    <row r="76" spans="1:6">
      <c r="A76" s="348" t="s">
        <v>65</v>
      </c>
      <c r="B76" s="348" t="s">
        <v>657</v>
      </c>
      <c r="C76" s="1295" t="s">
        <v>661</v>
      </c>
      <c r="D76" s="475">
        <v>156481.5</v>
      </c>
      <c r="E76" s="475">
        <v>139234.25054956574</v>
      </c>
    </row>
    <row r="77" spans="1:6">
      <c r="A77" s="348" t="s">
        <v>66</v>
      </c>
      <c r="B77" s="348" t="s">
        <v>656</v>
      </c>
      <c r="C77" s="1295" t="s">
        <v>662</v>
      </c>
      <c r="D77" s="475">
        <v>54322630</v>
      </c>
      <c r="E77" s="475">
        <v>52106236.985623851</v>
      </c>
    </row>
    <row r="78" spans="1:6">
      <c r="A78" s="341" t="s">
        <v>66</v>
      </c>
      <c r="B78" s="341" t="s">
        <v>657</v>
      </c>
      <c r="C78" s="341" t="s">
        <v>663</v>
      </c>
      <c r="D78" s="1296">
        <v>16454902</v>
      </c>
      <c r="E78" s="1296">
        <v>16627612.533785988</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184955</v>
      </c>
      <c r="C83" s="475">
        <v>184799.7104478117</v>
      </c>
    </row>
    <row r="84" spans="1:6">
      <c r="A84" s="341" t="s">
        <v>337</v>
      </c>
      <c r="B84" s="1296">
        <v>234525</v>
      </c>
      <c r="C84" s="1296">
        <v>233781.62309825228</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1271.5808632666892</v>
      </c>
    </row>
    <row r="92" spans="1:6">
      <c r="A92" s="341" t="s">
        <v>69</v>
      </c>
      <c r="B92" s="342">
        <v>397.40342004217769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2669</v>
      </c>
    </row>
    <row r="98" spans="1:6">
      <c r="A98" s="348" t="s">
        <v>72</v>
      </c>
      <c r="B98" s="334">
        <v>1</v>
      </c>
    </row>
    <row r="99" spans="1:6">
      <c r="A99" s="348" t="s">
        <v>73</v>
      </c>
      <c r="B99" s="334">
        <v>41</v>
      </c>
    </row>
    <row r="100" spans="1:6">
      <c r="A100" s="348" t="s">
        <v>74</v>
      </c>
      <c r="B100" s="334">
        <v>983</v>
      </c>
    </row>
    <row r="101" spans="1:6">
      <c r="A101" s="348" t="s">
        <v>75</v>
      </c>
      <c r="B101" s="334">
        <v>41</v>
      </c>
    </row>
    <row r="102" spans="1:6">
      <c r="A102" s="348" t="s">
        <v>76</v>
      </c>
      <c r="B102" s="334">
        <v>133</v>
      </c>
    </row>
    <row r="103" spans="1:6">
      <c r="A103" s="348" t="s">
        <v>77</v>
      </c>
      <c r="B103" s="334">
        <v>51</v>
      </c>
    </row>
    <row r="104" spans="1:6">
      <c r="A104" s="348" t="s">
        <v>78</v>
      </c>
      <c r="B104" s="334">
        <v>586</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53</v>
      </c>
      <c r="C123" s="334">
        <v>10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66</v>
      </c>
    </row>
    <row r="130" spans="1:6">
      <c r="A130" s="348" t="s">
        <v>295</v>
      </c>
      <c r="B130" s="334">
        <v>5</v>
      </c>
    </row>
    <row r="131" spans="1:6">
      <c r="A131" s="348" t="s">
        <v>296</v>
      </c>
      <c r="B131" s="334">
        <v>1</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82075.429108989047</v>
      </c>
      <c r="C3" s="43" t="s">
        <v>170</v>
      </c>
      <c r="D3" s="43"/>
      <c r="E3" s="154"/>
      <c r="F3" s="43"/>
      <c r="G3" s="43"/>
      <c r="H3" s="43"/>
      <c r="I3" s="43"/>
      <c r="J3" s="43"/>
      <c r="K3" s="96"/>
    </row>
    <row r="4" spans="1:11">
      <c r="A4" s="383" t="s">
        <v>171</v>
      </c>
      <c r="B4" s="49">
        <f>IF(ISERROR('SEAP template'!B78+'SEAP template'!C78),0,'SEAP template'!B78+'SEAP template'!C78)</f>
        <v>1668.9842833088669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0.21650601768866221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1041.7080000000001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1041.7080000000001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0.21650601768866221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225.53605067442095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25802.246151521602</v>
      </c>
      <c r="C5" s="17">
        <f>IF(ISERROR('Eigen informatie GS &amp; warmtenet'!B57),0,'Eigen informatie GS &amp; warmtenet'!B57)</f>
        <v>0</v>
      </c>
      <c r="D5" s="30">
        <f>(SUM(HH_hh_gas_kWh,HH_rest_gas_kWh)/1000)*0.902</f>
        <v>47031.056815863973</v>
      </c>
      <c r="E5" s="17">
        <f>B46*B57</f>
        <v>1115.0944489082376</v>
      </c>
      <c r="F5" s="17">
        <f>B51*B62</f>
        <v>0</v>
      </c>
      <c r="G5" s="18"/>
      <c r="H5" s="17"/>
      <c r="I5" s="17"/>
      <c r="J5" s="17">
        <f>B50*B61+C50*C61</f>
        <v>0</v>
      </c>
      <c r="K5" s="17"/>
      <c r="L5" s="17"/>
      <c r="M5" s="17"/>
      <c r="N5" s="17">
        <f>B48*B59+C48*C59</f>
        <v>3800.1813471729693</v>
      </c>
      <c r="O5" s="17">
        <f>B69*B70*B71</f>
        <v>120.37666666666668</v>
      </c>
      <c r="P5" s="17">
        <f>B77*B78*B79/1000-B77*B78*B79/1000/B80</f>
        <v>1067.7333333333333</v>
      </c>
    </row>
    <row r="6" spans="1:16">
      <c r="A6" s="16" t="s">
        <v>621</v>
      </c>
      <c r="B6" s="788">
        <f>kWh_PV_kleiner_dan_10kW</f>
        <v>1271.5808632666892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27073.82701478829</v>
      </c>
      <c r="C8" s="21">
        <f>C5</f>
        <v>0</v>
      </c>
      <c r="D8" s="21">
        <f>D5</f>
        <v>47031.056815863973</v>
      </c>
      <c r="E8" s="21">
        <f>E5</f>
        <v>1115.0944489082376</v>
      </c>
      <c r="F8" s="21">
        <f>F5</f>
        <v>0</v>
      </c>
      <c r="G8" s="21"/>
      <c r="H8" s="21"/>
      <c r="I8" s="21"/>
      <c r="J8" s="21">
        <f>J5</f>
        <v>0</v>
      </c>
      <c r="K8" s="21"/>
      <c r="L8" s="21">
        <f>L5</f>
        <v>0</v>
      </c>
      <c r="M8" s="21">
        <f>M5</f>
        <v>0</v>
      </c>
      <c r="N8" s="21">
        <f>N5</f>
        <v>3800.1813471729693</v>
      </c>
      <c r="O8" s="21">
        <f>O5</f>
        <v>120.37666666666668</v>
      </c>
      <c r="P8" s="21">
        <f>P5</f>
        <v>1067.7333333333333</v>
      </c>
    </row>
    <row r="9" spans="1:16">
      <c r="B9" s="19"/>
      <c r="C9" s="19"/>
      <c r="D9" s="258"/>
      <c r="E9" s="19"/>
      <c r="F9" s="19"/>
      <c r="G9" s="19"/>
      <c r="H9" s="19"/>
      <c r="I9" s="19"/>
      <c r="J9" s="19"/>
      <c r="K9" s="19"/>
      <c r="L9" s="19"/>
      <c r="M9" s="19"/>
      <c r="N9" s="19"/>
      <c r="O9" s="19"/>
      <c r="P9" s="19"/>
    </row>
    <row r="10" spans="1:16">
      <c r="A10" s="24" t="s">
        <v>214</v>
      </c>
      <c r="B10" s="25">
        <f ca="1">'EF ele_warmte'!B12</f>
        <v>0.21650601768866221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5861.6464705635344</v>
      </c>
      <c r="C12" s="23">
        <f ca="1">C10*C8</f>
        <v>0</v>
      </c>
      <c r="D12" s="23">
        <f>D8*D10</f>
        <v>9500.2734768045229</v>
      </c>
      <c r="E12" s="23">
        <f>E10*E8</f>
        <v>253.12643990216995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2669</v>
      </c>
      <c r="C18" s="166" t="s">
        <v>111</v>
      </c>
      <c r="D18" s="228"/>
      <c r="E18" s="15"/>
    </row>
    <row r="19" spans="1:7">
      <c r="A19" s="171" t="s">
        <v>72</v>
      </c>
      <c r="B19" s="37">
        <f>aantalw2001_ander</f>
        <v>1</v>
      </c>
      <c r="C19" s="166" t="s">
        <v>111</v>
      </c>
      <c r="D19" s="229"/>
      <c r="E19" s="15"/>
    </row>
    <row r="20" spans="1:7">
      <c r="A20" s="171" t="s">
        <v>73</v>
      </c>
      <c r="B20" s="37">
        <f>aantalw2001_propaan</f>
        <v>41</v>
      </c>
      <c r="C20" s="167">
        <f>IF(ISERROR(B20/SUM($B$20,$B$21,$B$22)*100),0,B20/SUM($B$20,$B$21,$B$22)*100)</f>
        <v>3.8497652582159625</v>
      </c>
      <c r="D20" s="229"/>
      <c r="E20" s="15"/>
    </row>
    <row r="21" spans="1:7">
      <c r="A21" s="171" t="s">
        <v>74</v>
      </c>
      <c r="B21" s="37">
        <f>aantalw2001_elektriciteit</f>
        <v>983</v>
      </c>
      <c r="C21" s="167">
        <f>IF(ISERROR(B21/SUM($B$20,$B$21,$B$22)*100),0,B21/SUM($B$20,$B$21,$B$22)*100)</f>
        <v>92.300469483568065</v>
      </c>
      <c r="D21" s="229"/>
      <c r="E21" s="15"/>
    </row>
    <row r="22" spans="1:7">
      <c r="A22" s="171" t="s">
        <v>75</v>
      </c>
      <c r="B22" s="37">
        <f>aantalw2001_hout</f>
        <v>41</v>
      </c>
      <c r="C22" s="167">
        <f>IF(ISERROR(B22/SUM($B$20,$B$21,$B$22)*100),0,B22/SUM($B$20,$B$21,$B$22)*100)</f>
        <v>3.8497652582159625</v>
      </c>
      <c r="D22" s="229"/>
      <c r="E22" s="15"/>
    </row>
    <row r="23" spans="1:7">
      <c r="A23" s="171" t="s">
        <v>76</v>
      </c>
      <c r="B23" s="37">
        <f>aantalw2001_niet_gespec</f>
        <v>133</v>
      </c>
      <c r="C23" s="166" t="s">
        <v>111</v>
      </c>
      <c r="D23" s="228"/>
      <c r="E23" s="15"/>
    </row>
    <row r="24" spans="1:7">
      <c r="A24" s="171" t="s">
        <v>77</v>
      </c>
      <c r="B24" s="37">
        <f>aantalw2001_steenkool</f>
        <v>51</v>
      </c>
      <c r="C24" s="166" t="s">
        <v>111</v>
      </c>
      <c r="D24" s="229"/>
      <c r="E24" s="15"/>
    </row>
    <row r="25" spans="1:7">
      <c r="A25" s="171" t="s">
        <v>78</v>
      </c>
      <c r="B25" s="37">
        <f>aantalw2001_stookolie</f>
        <v>586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5863</v>
      </c>
      <c r="C28" s="36"/>
      <c r="D28" s="228"/>
    </row>
    <row r="29" spans="1:7" s="15" customFormat="1">
      <c r="A29" s="230" t="s">
        <v>794</v>
      </c>
      <c r="B29" s="37">
        <f>SUM(HH_hh_gas_aantal,HH_rest_gas_aantal)</f>
        <v>4439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4439</v>
      </c>
      <c r="C32" s="167">
        <f>IF(ISERROR(B32/SUM($B$32,$B$34,$B$35,$B$36,$B$38,$B$39)*100),0,B32/SUM($B$32,$B$34,$B$35,$B$36,$B$38,$B$39)*100)</f>
        <v>76.442224900981572</v>
      </c>
      <c r="D32" s="233"/>
      <c r="G32" s="15"/>
    </row>
    <row r="33" spans="1:7">
      <c r="A33" s="171" t="s">
        <v>72</v>
      </c>
      <c r="B33" s="34" t="s">
        <v>111</v>
      </c>
      <c r="C33" s="167"/>
      <c r="D33" s="233"/>
      <c r="G33" s="15"/>
    </row>
    <row r="34" spans="1:7">
      <c r="A34" s="171" t="s">
        <v>73</v>
      </c>
      <c r="B34" s="33">
        <f>IF((($B$28-$B$32-$B$39-$B$77-$B$38)*C20/100)&lt;0,0,($B$28-$B$32-$B$39-$B$77-$B$38)*C20/100)</f>
        <v>52.664788732394364</v>
      </c>
      <c r="C34" s="167">
        <f>IF(ISERROR(B34/SUM($B$32,$B$34,$B$35,$B$36,$B$38,$B$39)*100),0,B34/SUM($B$32,$B$34,$B$35,$B$36,$B$38,$B$39)*100)</f>
        <v>0.90691904137066237</v>
      </c>
      <c r="D34" s="233"/>
      <c r="G34" s="15"/>
    </row>
    <row r="35" spans="1:7">
      <c r="A35" s="171" t="s">
        <v>74</v>
      </c>
      <c r="B35" s="33">
        <f>IF((($B$28-$B$32-$B$39-$B$77-$B$38)*C21/100)&lt;0,0,($B$28-$B$32-$B$39-$B$77-$B$38)*C21/100)</f>
        <v>1262.6704225352112</v>
      </c>
      <c r="C35" s="167">
        <f>IF(ISERROR(B35/SUM($B$32,$B$34,$B$35,$B$36,$B$38,$B$39)*100),0,B35/SUM($B$32,$B$34,$B$35,$B$36,$B$38,$B$39)*100)</f>
        <v>21.743937016277098</v>
      </c>
      <c r="D35" s="233"/>
      <c r="G35" s="15"/>
    </row>
    <row r="36" spans="1:7">
      <c r="A36" s="171" t="s">
        <v>75</v>
      </c>
      <c r="B36" s="33">
        <f>IF((($B$28-$B$32-$B$39-$B$77-$B$38)*C22/100)&lt;0,0,($B$28-$B$32-$B$39-$B$77-$B$38)*C22/100)</f>
        <v>52.664788732394364</v>
      </c>
      <c r="C36" s="167">
        <f>IF(ISERROR(B36/SUM($B$32,$B$34,$B$35,$B$36,$B$38,$B$39)*100),0,B36/SUM($B$32,$B$34,$B$35,$B$36,$B$38,$B$39)*100)</f>
        <v>0.90691904137066237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4439</v>
      </c>
      <c r="C44" s="34" t="s">
        <v>111</v>
      </c>
      <c r="D44" s="174"/>
    </row>
    <row r="45" spans="1:7">
      <c r="A45" s="171" t="s">
        <v>72</v>
      </c>
      <c r="B45" s="33" t="str">
        <f t="shared" si="0"/>
        <v>-</v>
      </c>
      <c r="C45" s="34" t="s">
        <v>111</v>
      </c>
      <c r="D45" s="174"/>
    </row>
    <row r="46" spans="1:7">
      <c r="A46" s="171" t="s">
        <v>73</v>
      </c>
      <c r="B46" s="33">
        <f t="shared" si="0"/>
        <v>52.664788732394364</v>
      </c>
      <c r="C46" s="34" t="s">
        <v>111</v>
      </c>
      <c r="D46" s="174"/>
    </row>
    <row r="47" spans="1:7">
      <c r="A47" s="171" t="s">
        <v>74</v>
      </c>
      <c r="B47" s="33">
        <f t="shared" si="0"/>
        <v>1262.6704225352112</v>
      </c>
      <c r="C47" s="34" t="s">
        <v>111</v>
      </c>
      <c r="D47" s="174"/>
    </row>
    <row r="48" spans="1:7">
      <c r="A48" s="171" t="s">
        <v>75</v>
      </c>
      <c r="B48" s="33">
        <f t="shared" si="0"/>
        <v>52.664788732394364</v>
      </c>
      <c r="C48" s="33">
        <f>B48*10</f>
        <v>526.64788732394368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35959.281407883187</v>
      </c>
      <c r="C5" s="17">
        <f>IF(ISERROR('Eigen informatie GS &amp; warmtenet'!B58),0,'Eigen informatie GS &amp; warmtenet'!B58)</f>
        <v>0</v>
      </c>
      <c r="D5" s="30">
        <f>SUM(D6:D12)</f>
        <v>41991.050498904879</v>
      </c>
      <c r="E5" s="17">
        <f>SUM(E6:E12)</f>
        <v>495.88214192955195</v>
      </c>
      <c r="F5" s="17">
        <f>SUM(F6:F12)</f>
        <v>6073.1494775571882</v>
      </c>
      <c r="G5" s="18"/>
      <c r="H5" s="17"/>
      <c r="I5" s="17"/>
      <c r="J5" s="17">
        <f>SUM(J6:J12)</f>
        <v>7.5796307010755168E-2</v>
      </c>
      <c r="K5" s="17"/>
      <c r="L5" s="17"/>
      <c r="M5" s="17"/>
      <c r="N5" s="17">
        <f>SUM(N6:N12)</f>
        <v>3027.1734446889018</v>
      </c>
      <c r="O5" s="17">
        <f>B38*B39*B40</f>
        <v>7.8166666666666664</v>
      </c>
      <c r="P5" s="17">
        <f>B46*B47*B48/1000-B46*B47*B48/1000/B49</f>
        <v>19.066666666666666</v>
      </c>
      <c r="R5" s="32"/>
    </row>
    <row r="6" spans="1:18">
      <c r="A6" s="32" t="s">
        <v>54</v>
      </c>
      <c r="B6" s="37">
        <f>B26</f>
        <v>10867.4159390521</v>
      </c>
      <c r="C6" s="33"/>
      <c r="D6" s="37">
        <f>IF(ISERROR(TER_kantoor_gas_kWh/1000),0,TER_kantoor_gas_kWh/1000)*0.902</f>
        <v>10275.443565764497</v>
      </c>
      <c r="E6" s="33">
        <f>$C$26*'E Balans VL '!I12/100/3.6*1000000</f>
        <v>6.8113348660062634E-2</v>
      </c>
      <c r="F6" s="33">
        <f>$C$26*('E Balans VL '!L12+'E Balans VL '!N12)/100/3.6*1000000</f>
        <v>1633.0689510765617</v>
      </c>
      <c r="G6" s="34"/>
      <c r="H6" s="33"/>
      <c r="I6" s="33"/>
      <c r="J6" s="33">
        <f>$C$26*('E Balans VL '!D12+'E Balans VL '!E12)/100/3.6*1000000</f>
        <v>0</v>
      </c>
      <c r="K6" s="33"/>
      <c r="L6" s="33"/>
      <c r="M6" s="33"/>
      <c r="N6" s="33">
        <f>$C$26*'E Balans VL '!Y12/100/3.6*1000000</f>
        <v>10.393072074462751</v>
      </c>
      <c r="O6" s="33"/>
      <c r="P6" s="33"/>
      <c r="R6" s="32"/>
    </row>
    <row r="7" spans="1:18">
      <c r="A7" s="32" t="s">
        <v>53</v>
      </c>
      <c r="B7" s="37">
        <f t="shared" ref="B7:B12" si="0">B27</f>
        <v>6871.8762924061002</v>
      </c>
      <c r="C7" s="33"/>
      <c r="D7" s="37">
        <f>IF(ISERROR(TER_horeca_gas_kWh/1000),0,TER_horeca_gas_kWh/1000)*0.902</f>
        <v>11150.88626066245</v>
      </c>
      <c r="E7" s="33">
        <f>$C$27*'E Balans VL '!I9/100/3.6*1000000</f>
        <v>98.404123871173894</v>
      </c>
      <c r="F7" s="33">
        <f>$C$27*('E Balans VL '!L9+'E Balans VL '!N9)/100/3.6*1000000</f>
        <v>870.20618183036152</v>
      </c>
      <c r="G7" s="34"/>
      <c r="H7" s="33"/>
      <c r="I7" s="33"/>
      <c r="J7" s="33">
        <f>$C$27*('E Balans VL '!D9+'E Balans VL '!E9)/100/3.6*1000000</f>
        <v>0</v>
      </c>
      <c r="K7" s="33"/>
      <c r="L7" s="33"/>
      <c r="M7" s="33"/>
      <c r="N7" s="33">
        <f>$C$27*'E Balans VL '!Y9/100/3.6*1000000</f>
        <v>1.9755129222002343</v>
      </c>
      <c r="O7" s="33"/>
      <c r="P7" s="33"/>
      <c r="R7" s="32"/>
    </row>
    <row r="8" spans="1:18">
      <c r="A8" s="6" t="s">
        <v>52</v>
      </c>
      <c r="B8" s="37">
        <f t="shared" si="0"/>
        <v>9557.9094824968415</v>
      </c>
      <c r="C8" s="33"/>
      <c r="D8" s="37">
        <f>IF(ISERROR(TER_handel_gas_kWh/1000),0,TER_handel_gas_kWh/1000)*0.902</f>
        <v>5183.8411716733626</v>
      </c>
      <c r="E8" s="33">
        <f>$C$28*'E Balans VL '!I13/100/3.6*1000000</f>
        <v>346.66419830156741</v>
      </c>
      <c r="F8" s="33">
        <f>$C$28*('E Balans VL '!L13+'E Balans VL '!N13)/100/3.6*1000000</f>
        <v>1840.9501463154813</v>
      </c>
      <c r="G8" s="34"/>
      <c r="H8" s="33"/>
      <c r="I8" s="33"/>
      <c r="J8" s="33">
        <f>$C$28*('E Balans VL '!D13+'E Balans VL '!E13)/100/3.6*1000000</f>
        <v>0</v>
      </c>
      <c r="K8" s="33"/>
      <c r="L8" s="33"/>
      <c r="M8" s="33"/>
      <c r="N8" s="33">
        <f>$C$28*'E Balans VL '!Y13/100/3.6*1000000</f>
        <v>13.239903810149697</v>
      </c>
      <c r="O8" s="33"/>
      <c r="P8" s="33"/>
      <c r="R8" s="32"/>
    </row>
    <row r="9" spans="1:18">
      <c r="A9" s="32" t="s">
        <v>51</v>
      </c>
      <c r="B9" s="37">
        <f t="shared" si="0"/>
        <v>1830.23672725034</v>
      </c>
      <c r="C9" s="33"/>
      <c r="D9" s="37">
        <f>IF(ISERROR(TER_gezond_gas_kWh/1000),0,TER_gezond_gas_kWh/1000)*0.902</f>
        <v>367.63392514410634</v>
      </c>
      <c r="E9" s="33">
        <f>$C$29*'E Balans VL '!I10/100/3.6*1000000</f>
        <v>0.11459088944896025</v>
      </c>
      <c r="F9" s="33">
        <f>$C$29*('E Balans VL '!L10+'E Balans VL '!N10)/100/3.6*1000000</f>
        <v>271.88723837317178</v>
      </c>
      <c r="G9" s="34"/>
      <c r="H9" s="33"/>
      <c r="I9" s="33"/>
      <c r="J9" s="33">
        <f>$C$29*('E Balans VL '!D10+'E Balans VL '!E10)/100/3.6*1000000</f>
        <v>0</v>
      </c>
      <c r="K9" s="33"/>
      <c r="L9" s="33"/>
      <c r="M9" s="33"/>
      <c r="N9" s="33">
        <f>$C$29*'E Balans VL '!Y10/100/3.6*1000000</f>
        <v>28.310278299856403</v>
      </c>
      <c r="O9" s="33"/>
      <c r="P9" s="33"/>
      <c r="R9" s="32"/>
    </row>
    <row r="10" spans="1:18">
      <c r="A10" s="32" t="s">
        <v>50</v>
      </c>
      <c r="B10" s="37">
        <f t="shared" si="0"/>
        <v>3101.03307912835</v>
      </c>
      <c r="C10" s="33"/>
      <c r="D10" s="37">
        <f>IF(ISERROR(TER_ander_gas_kWh/1000),0,TER_ander_gas_kWh/1000)*0.902</f>
        <v>3823.6311340290049</v>
      </c>
      <c r="E10" s="33">
        <f>$C$30*'E Balans VL '!I14/100/3.6*1000000</f>
        <v>3.6963206181227162</v>
      </c>
      <c r="F10" s="33">
        <f>$C$30*('E Balans VL '!L14+'E Balans VL '!N14)/100/3.6*1000000</f>
        <v>811.36811460263016</v>
      </c>
      <c r="G10" s="34"/>
      <c r="H10" s="33"/>
      <c r="I10" s="33"/>
      <c r="J10" s="33">
        <f>$C$30*('E Balans VL '!D14+'E Balans VL '!E14)/100/3.6*1000000</f>
        <v>6.7311272433849365E-2</v>
      </c>
      <c r="K10" s="33"/>
      <c r="L10" s="33"/>
      <c r="M10" s="33"/>
      <c r="N10" s="33">
        <f>$C$30*'E Balans VL '!Y14/100/3.6*1000000</f>
        <v>2633.3214095844523</v>
      </c>
      <c r="O10" s="33"/>
      <c r="P10" s="33"/>
      <c r="R10" s="32"/>
    </row>
    <row r="11" spans="1:18">
      <c r="A11" s="32" t="s">
        <v>55</v>
      </c>
      <c r="B11" s="37">
        <f t="shared" si="0"/>
        <v>226.805696741898</v>
      </c>
      <c r="C11" s="33"/>
      <c r="D11" s="37">
        <f>IF(ISERROR(TER_onderwijs_gas_kWh/1000),0,TER_onderwijs_gas_kWh/1000)*0.902</f>
        <v>152.22905823231287</v>
      </c>
      <c r="E11" s="33">
        <f>$C$31*'E Balans VL '!I11/100/3.6*1000000</f>
        <v>3.4221326585238674</v>
      </c>
      <c r="F11" s="33">
        <f>$C$31*('E Balans VL '!L11+'E Balans VL '!N11)/100/3.6*1000000</f>
        <v>39.739981397978795</v>
      </c>
      <c r="G11" s="34"/>
      <c r="H11" s="33"/>
      <c r="I11" s="33"/>
      <c r="J11" s="33">
        <f>$C$31*('E Balans VL '!D11+'E Balans VL '!E11)/100/3.6*1000000</f>
        <v>0</v>
      </c>
      <c r="K11" s="33"/>
      <c r="L11" s="33"/>
      <c r="M11" s="33"/>
      <c r="N11" s="33">
        <f>$C$31*'E Balans VL '!Y11/100/3.6*1000000</f>
        <v>0.63824847305739107</v>
      </c>
      <c r="O11" s="33"/>
      <c r="P11" s="33"/>
      <c r="R11" s="32"/>
    </row>
    <row r="12" spans="1:18">
      <c r="A12" s="32" t="s">
        <v>260</v>
      </c>
      <c r="B12" s="37">
        <f t="shared" si="0"/>
        <v>3504.00419080756</v>
      </c>
      <c r="C12" s="33"/>
      <c r="D12" s="37">
        <f>IF(ISERROR(TER_rest_gas_kWh/1000),0,TER_rest_gas_kWh/1000)*0.902</f>
        <v>11037.385383399152</v>
      </c>
      <c r="E12" s="33">
        <f>$C$32*'E Balans VL '!I8/100/3.6*1000000</f>
        <v>43.512662242055001</v>
      </c>
      <c r="F12" s="33">
        <f>$C$32*('E Balans VL '!L8+'E Balans VL '!N8)/100/3.6*1000000</f>
        <v>605.92886396100346</v>
      </c>
      <c r="G12" s="34"/>
      <c r="H12" s="33"/>
      <c r="I12" s="33"/>
      <c r="J12" s="33">
        <f>$C$32*('E Balans VL '!D8+'E Balans VL '!E8)/100/3.6*1000000</f>
        <v>8.4850345769058085E-3</v>
      </c>
      <c r="K12" s="33"/>
      <c r="L12" s="33"/>
      <c r="M12" s="33"/>
      <c r="N12" s="33">
        <f>$C$32*'E Balans VL '!Y8/100/3.6*1000000</f>
        <v>339.29501952472248</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35959.281407883187</v>
      </c>
      <c r="C16" s="21">
        <f t="shared" ca="1" si="1"/>
        <v>0</v>
      </c>
      <c r="D16" s="21">
        <f t="shared" ca="1" si="1"/>
        <v>41991.050498904879</v>
      </c>
      <c r="E16" s="21">
        <f t="shared" si="1"/>
        <v>495.88214192955195</v>
      </c>
      <c r="F16" s="21">
        <f t="shared" ca="1" si="1"/>
        <v>6073.1494775571882</v>
      </c>
      <c r="G16" s="21">
        <f t="shared" si="1"/>
        <v>0</v>
      </c>
      <c r="H16" s="21">
        <f t="shared" si="1"/>
        <v>0</v>
      </c>
      <c r="I16" s="21">
        <f t="shared" si="1"/>
        <v>0</v>
      </c>
      <c r="J16" s="21">
        <f t="shared" si="1"/>
        <v>7.5796307010755168E-2</v>
      </c>
      <c r="K16" s="21">
        <f t="shared" si="1"/>
        <v>0</v>
      </c>
      <c r="L16" s="21">
        <f t="shared" ca="1" si="1"/>
        <v>0</v>
      </c>
      <c r="M16" s="21">
        <f t="shared" si="1"/>
        <v>0</v>
      </c>
      <c r="N16" s="21">
        <f t="shared" ca="1" si="1"/>
        <v>3027.1734446889018</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0.21650601768866221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7785.4008165667392</v>
      </c>
      <c r="C20" s="23">
        <f t="shared" ref="C20:P20" ca="1" si="2">C16*C18</f>
        <v>0</v>
      </c>
      <c r="D20" s="23">
        <f t="shared" ca="1" si="2"/>
        <v>8482.1922007787853</v>
      </c>
      <c r="E20" s="23">
        <f t="shared" si="2"/>
        <v>112.5652462180083</v>
      </c>
      <c r="F20" s="23">
        <f t="shared" ca="1" si="2"/>
        <v>1621.5309105077692</v>
      </c>
      <c r="G20" s="23">
        <f t="shared" si="2"/>
        <v>0</v>
      </c>
      <c r="H20" s="23">
        <f t="shared" si="2"/>
        <v>0</v>
      </c>
      <c r="I20" s="23">
        <f t="shared" si="2"/>
        <v>0</v>
      </c>
      <c r="J20" s="23">
        <f t="shared" si="2"/>
        <v>2.6831892681807329E-2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10867.4159390521</v>
      </c>
      <c r="C26" s="39">
        <f>IF(ISERROR(B26*3.6/1000000/'E Balans VL '!Z12*100),0,B26*3.6/1000000/'E Balans VL '!Z12*100)</f>
        <v>0.22971995757414063</v>
      </c>
      <c r="D26" s="237" t="s">
        <v>754</v>
      </c>
      <c r="F26" s="6"/>
    </row>
    <row r="27" spans="1:18">
      <c r="A27" s="231" t="s">
        <v>53</v>
      </c>
      <c r="B27" s="33">
        <f>IF(ISERROR(TER_horeca_ele_kWh/1000),0,TER_horeca_ele_kWh/1000)</f>
        <v>6871.8762924061002</v>
      </c>
      <c r="C27" s="39">
        <f>IF(ISERROR(B27*3.6/1000000/'E Balans VL '!Z9*100),0,B27*3.6/1000000/'E Balans VL '!Z9*100)</f>
        <v>0.54170744685132066</v>
      </c>
      <c r="D27" s="237" t="s">
        <v>754</v>
      </c>
      <c r="F27" s="6"/>
    </row>
    <row r="28" spans="1:18">
      <c r="A28" s="171" t="s">
        <v>52</v>
      </c>
      <c r="B28" s="33">
        <f>IF(ISERROR(TER_handel_ele_kWh/1000),0,TER_handel_ele_kWh/1000)</f>
        <v>9557.9094824968415</v>
      </c>
      <c r="C28" s="39">
        <f>IF(ISERROR(B28*3.6/1000000/'E Balans VL '!Z13*100),0,B28*3.6/1000000/'E Balans VL '!Z13*100)</f>
        <v>0.27740915146378181</v>
      </c>
      <c r="D28" s="237" t="s">
        <v>754</v>
      </c>
      <c r="F28" s="6"/>
    </row>
    <row r="29" spans="1:18">
      <c r="A29" s="231" t="s">
        <v>51</v>
      </c>
      <c r="B29" s="33">
        <f>IF(ISERROR(TER_gezond_ele_kWh/1000),0,TER_gezond_ele_kWh/1000)</f>
        <v>1830.23672725034</v>
      </c>
      <c r="C29" s="39">
        <f>IF(ISERROR(B29*3.6/1000000/'E Balans VL '!Z10*100),0,B29*3.6/1000000/'E Balans VL '!Z10*100)</f>
        <v>0.1927539806598127</v>
      </c>
      <c r="D29" s="237" t="s">
        <v>754</v>
      </c>
      <c r="F29" s="6"/>
    </row>
    <row r="30" spans="1:18">
      <c r="A30" s="231" t="s">
        <v>50</v>
      </c>
      <c r="B30" s="33">
        <f>IF(ISERROR(TER_ander_ele_kWh/1000),0,TER_ander_ele_kWh/1000)</f>
        <v>3101.03307912835</v>
      </c>
      <c r="C30" s="39">
        <f>IF(ISERROR(B30*3.6/1000000/'E Balans VL '!Z14*100),0,B30*3.6/1000000/'E Balans VL '!Z14*100)</f>
        <v>0.22873287345754142</v>
      </c>
      <c r="D30" s="237" t="s">
        <v>754</v>
      </c>
      <c r="F30" s="6"/>
    </row>
    <row r="31" spans="1:18">
      <c r="A31" s="231" t="s">
        <v>55</v>
      </c>
      <c r="B31" s="33">
        <f>IF(ISERROR(TER_onderwijs_ele_kWh/1000),0,TER_onderwijs_ele_kWh/1000)</f>
        <v>226.805696741898</v>
      </c>
      <c r="C31" s="39">
        <f>IF(ISERROR(B31*3.6/1000000/'E Balans VL '!Z11*100),0,B31*3.6/1000000/'E Balans VL '!Z11*100)</f>
        <v>5.6326478705529946E-2</v>
      </c>
      <c r="D31" s="237" t="s">
        <v>754</v>
      </c>
    </row>
    <row r="32" spans="1:18">
      <c r="A32" s="231" t="s">
        <v>260</v>
      </c>
      <c r="B32" s="33">
        <f>IF(ISERROR(TER_rest_ele_kWh/1000),0,TER_rest_ele_kWh/1000)</f>
        <v>3504.00419080756</v>
      </c>
      <c r="C32" s="39">
        <f>IF(ISERROR(B32*3.6/1000000/'E Balans VL '!Z8*100),0,B32*3.6/1000000/'E Balans VL '!Z8*100)</f>
        <v>2.8833303397578773E-2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5639.2965509758087</v>
      </c>
      <c r="C5" s="17">
        <f>IF(ISERROR('Eigen informatie GS &amp; warmtenet'!B59),0,'Eigen informatie GS &amp; warmtenet'!B59)</f>
        <v>0</v>
      </c>
      <c r="D5" s="30">
        <f>SUM(D6:D15)</f>
        <v>4414.8197841974434</v>
      </c>
      <c r="E5" s="17">
        <f>SUM(E6:E15)</f>
        <v>789.91148841824645</v>
      </c>
      <c r="F5" s="17">
        <f>SUM(F6:F15)</f>
        <v>2342.6032435139859</v>
      </c>
      <c r="G5" s="18"/>
      <c r="H5" s="17"/>
      <c r="I5" s="17"/>
      <c r="J5" s="17">
        <f>SUM(J6:J15)</f>
        <v>9.438787216482071</v>
      </c>
      <c r="K5" s="17"/>
      <c r="L5" s="17"/>
      <c r="M5" s="17"/>
      <c r="N5" s="17">
        <f>SUM(N6:N15)</f>
        <v>1359.8518883908005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220.16397844902301</v>
      </c>
      <c r="C8" s="33"/>
      <c r="D8" s="37">
        <f>IF( ISERROR(IND_metaal_Gas_kWH/1000),0,IND_metaal_Gas_kWH/1000)*0.902</f>
        <v>229.6273175743429</v>
      </c>
      <c r="E8" s="33">
        <f>C30*'E Balans VL '!I18/100/3.6*1000000</f>
        <v>2.0241951454462024</v>
      </c>
      <c r="F8" s="33">
        <f>C30*'E Balans VL '!L18/100/3.6*1000000+C30*'E Balans VL '!N18/100/3.6*1000000</f>
        <v>20.644051177699502</v>
      </c>
      <c r="G8" s="34"/>
      <c r="H8" s="33"/>
      <c r="I8" s="33"/>
      <c r="J8" s="40">
        <f>C30*'E Balans VL '!D18/100/3.6*1000000+C30*'E Balans VL '!E18/100/3.6*1000000</f>
        <v>0</v>
      </c>
      <c r="K8" s="33"/>
      <c r="L8" s="33"/>
      <c r="M8" s="33"/>
      <c r="N8" s="33">
        <f>C30*'E Balans VL '!Y18/100/3.6*1000000</f>
        <v>3.1410029888712279</v>
      </c>
      <c r="O8" s="33"/>
      <c r="P8" s="33"/>
      <c r="R8" s="32"/>
    </row>
    <row r="9" spans="1:18">
      <c r="A9" s="6" t="s">
        <v>33</v>
      </c>
      <c r="B9" s="37">
        <f t="shared" si="0"/>
        <v>2193.0138259790301</v>
      </c>
      <c r="C9" s="33"/>
      <c r="D9" s="37">
        <f>IF( ISERROR(IND_andere_gas_kWh/1000),0,IND_andere_gas_kWh/1000)*0.902</f>
        <v>1306.8990310272495</v>
      </c>
      <c r="E9" s="33">
        <f>C31*'E Balans VL '!I19/100/3.6*1000000</f>
        <v>641.06063427725883</v>
      </c>
      <c r="F9" s="33">
        <f>C31*'E Balans VL '!L19/100/3.6*1000000+C31*'E Balans VL '!N19/100/3.6*1000000</f>
        <v>1762.252605068092</v>
      </c>
      <c r="G9" s="34"/>
      <c r="H9" s="33"/>
      <c r="I9" s="33"/>
      <c r="J9" s="40">
        <f>C31*'E Balans VL '!D19/100/3.6*1000000+C31*'E Balans VL '!E19/100/3.6*1000000</f>
        <v>0</v>
      </c>
      <c r="K9" s="33"/>
      <c r="L9" s="33"/>
      <c r="M9" s="33"/>
      <c r="N9" s="33">
        <f>C31*'E Balans VL '!Y19/100/3.6*1000000</f>
        <v>724.60577933651427</v>
      </c>
      <c r="O9" s="33"/>
      <c r="P9" s="33"/>
      <c r="R9" s="32"/>
    </row>
    <row r="10" spans="1:18">
      <c r="A10" s="6" t="s">
        <v>41</v>
      </c>
      <c r="B10" s="37">
        <f t="shared" si="0"/>
        <v>589.57200015848593</v>
      </c>
      <c r="C10" s="33"/>
      <c r="D10" s="37">
        <f>IF( ISERROR(IND_voed_gas_kWh/1000),0,IND_voed_gas_kWh/1000)*0.902</f>
        <v>1062.3715399263224</v>
      </c>
      <c r="E10" s="33">
        <f>C32*'E Balans VL '!I20/100/3.6*1000000</f>
        <v>1.2472487077574095</v>
      </c>
      <c r="F10" s="33">
        <f>C32*'E Balans VL '!L20/100/3.6*1000000+C32*'E Balans VL '!N20/100/3.6*1000000</f>
        <v>37.485590000214579</v>
      </c>
      <c r="G10" s="34"/>
      <c r="H10" s="33"/>
      <c r="I10" s="33"/>
      <c r="J10" s="40">
        <f>C32*'E Balans VL '!D20/100/3.6*1000000+C32*'E Balans VL '!E20/100/3.6*1000000</f>
        <v>0</v>
      </c>
      <c r="K10" s="33"/>
      <c r="L10" s="33"/>
      <c r="M10" s="33"/>
      <c r="N10" s="33">
        <f>C32*'E Balans VL '!Y20/100/3.6*1000000</f>
        <v>40.686286049594436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2636.5467463892696</v>
      </c>
      <c r="C15" s="33"/>
      <c r="D15" s="37">
        <f>IF( ISERROR(IND_rest_gas_kWh/1000),0,IND_rest_gas_kWh/1000)*0.902</f>
        <v>1815.9218956695281</v>
      </c>
      <c r="E15" s="33">
        <f>C37*'E Balans VL '!I15/100/3.6*1000000</f>
        <v>145.57941028778393</v>
      </c>
      <c r="F15" s="33">
        <f>C37*'E Balans VL '!L15/100/3.6*1000000+C37*'E Balans VL '!N15/100/3.6*1000000</f>
        <v>522.22099726797978</v>
      </c>
      <c r="G15" s="34"/>
      <c r="H15" s="33"/>
      <c r="I15" s="33"/>
      <c r="J15" s="40">
        <f>C37*'E Balans VL '!D15/100/3.6*1000000+C37*'E Balans VL '!E15/100/3.6*1000000</f>
        <v>9.438787216482071</v>
      </c>
      <c r="K15" s="33"/>
      <c r="L15" s="33"/>
      <c r="M15" s="33"/>
      <c r="N15" s="33">
        <f>C37*'E Balans VL '!Y15/100/3.6*1000000</f>
        <v>591.41882001582053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5639.2965509758087</v>
      </c>
      <c r="C18" s="21">
        <f>C5+C16</f>
        <v>0</v>
      </c>
      <c r="D18" s="21">
        <f>MAX((D5+D16),0)</f>
        <v>4414.8197841974434</v>
      </c>
      <c r="E18" s="21">
        <f>MAX((E5+E16),0)</f>
        <v>789.91148841824645</v>
      </c>
      <c r="F18" s="21">
        <f>MAX((F5+F16),0)</f>
        <v>2342.6032435139859</v>
      </c>
      <c r="G18" s="21"/>
      <c r="H18" s="21"/>
      <c r="I18" s="21"/>
      <c r="J18" s="21">
        <f>MAX((J5+J16),0)</f>
        <v>9.438787216482071</v>
      </c>
      <c r="K18" s="21"/>
      <c r="L18" s="21">
        <f>MAX((L5+L16),0)</f>
        <v>0</v>
      </c>
      <c r="M18" s="21"/>
      <c r="N18" s="21">
        <f>MAX((N5+N16),0)</f>
        <v>1359.8518883908005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0.21650601768866221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1220.9416388171803</v>
      </c>
      <c r="C22" s="23">
        <f ca="1">C18*C20</f>
        <v>0</v>
      </c>
      <c r="D22" s="23">
        <f>D18*D20</f>
        <v>891.79359640788357</v>
      </c>
      <c r="E22" s="23">
        <f>E18*E20</f>
        <v>179.30990787094194</v>
      </c>
      <c r="F22" s="23">
        <f>F18*F20</f>
        <v>625.47506601823432</v>
      </c>
      <c r="G22" s="23"/>
      <c r="H22" s="23"/>
      <c r="I22" s="23"/>
      <c r="J22" s="23">
        <f>J18*J20</f>
        <v>3.3413306746346532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220.16397844902301</v>
      </c>
      <c r="C30" s="39">
        <f>IF(ISERROR(B30*3.6/1000000/'E Balans VL '!Z18*100),0,B30*3.6/1000000/'E Balans VL '!Z18*100)</f>
        <v>1.2477257196070353E-2</v>
      </c>
      <c r="D30" s="237" t="s">
        <v>754</v>
      </c>
    </row>
    <row r="31" spans="1:18">
      <c r="A31" s="6" t="s">
        <v>33</v>
      </c>
      <c r="B31" s="37">
        <f>IF( ISERROR(IND_ander_ele_kWh/1000),0,IND_ander_ele_kWh/1000)</f>
        <v>2193.0138259790301</v>
      </c>
      <c r="C31" s="39">
        <f>IF(ISERROR(B31*3.6/1000000/'E Balans VL '!Z19*100),0,B31*3.6/1000000/'E Balans VL '!Z19*100)</f>
        <v>9.9465975595769293E-2</v>
      </c>
      <c r="D31" s="237" t="s">
        <v>754</v>
      </c>
    </row>
    <row r="32" spans="1:18">
      <c r="A32" s="171" t="s">
        <v>41</v>
      </c>
      <c r="B32" s="37">
        <f>IF( ISERROR(IND_voed_ele_kWh/1000),0,IND_voed_ele_kWh/1000)</f>
        <v>589.57200015848593</v>
      </c>
      <c r="C32" s="39">
        <f>IF(ISERROR(B32*3.6/1000000/'E Balans VL '!Z20*100),0,B32*3.6/1000000/'E Balans VL '!Z20*100)</f>
        <v>1.8238138395796927E-2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2636.5467463892696</v>
      </c>
      <c r="C37" s="39">
        <f>IF(ISERROR(B37*3.6/1000000/'E Balans VL '!Z15*100),0,B37*3.6/1000000/'E Balans VL '!Z15*100)</f>
        <v>2.0897870952487713E-2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1202.5814994980203</v>
      </c>
      <c r="C5" s="17">
        <f>'Eigen informatie GS &amp; warmtenet'!B60</f>
        <v>0</v>
      </c>
      <c r="D5" s="30">
        <f>IF(ISERROR(SUM(LB_lb_gas_kWh,LB_rest_gas_kWh)/1000),0,SUM(LB_lb_gas_kWh,LB_rest_gas_kWh)/1000)*0.902</f>
        <v>159.20014068686174</v>
      </c>
      <c r="E5" s="17">
        <f>B17*'E Balans VL '!I25/3.6*1000000/100</f>
        <v>35.347543378101889</v>
      </c>
      <c r="F5" s="17">
        <f>B17*('E Balans VL '!L25/3.6*1000000+'E Balans VL '!N25/3.6*1000000)/100</f>
        <v>5009.8895428153828</v>
      </c>
      <c r="G5" s="18"/>
      <c r="H5" s="17"/>
      <c r="I5" s="17"/>
      <c r="J5" s="17">
        <f>('E Balans VL '!D25+'E Balans VL '!E25)/3.6*1000000*landbouw!B17/100</f>
        <v>174.22823354393716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1202.5814994980203</v>
      </c>
      <c r="C8" s="21">
        <f>C5+C6</f>
        <v>0</v>
      </c>
      <c r="D8" s="21">
        <f>MAX((D5+D6),0)</f>
        <v>159.20014068686174</v>
      </c>
      <c r="E8" s="21">
        <f>MAX((E5+E6),0)</f>
        <v>35.347543378101889</v>
      </c>
      <c r="F8" s="21">
        <f>MAX((F5+F6),0)</f>
        <v>5009.8895428153828</v>
      </c>
      <c r="G8" s="21"/>
      <c r="H8" s="21"/>
      <c r="I8" s="21"/>
      <c r="J8" s="21">
        <f>MAX((J5+J6),0)</f>
        <v>174.22823354393716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0.21650601768866221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260.36613140237631</v>
      </c>
      <c r="C12" s="23">
        <f ca="1">C8*C10</f>
        <v>0</v>
      </c>
      <c r="D12" s="23">
        <f>D8*D10</f>
        <v>32.158428418746077</v>
      </c>
      <c r="E12" s="23">
        <f>E8*E10</f>
        <v>8.023892346829129</v>
      </c>
      <c r="F12" s="23">
        <f>F8*F10</f>
        <v>1337.6405079317074</v>
      </c>
      <c r="G12" s="23"/>
      <c r="H12" s="23"/>
      <c r="I12" s="23"/>
      <c r="J12" s="23">
        <f>J8*J10</f>
        <v>61.676794674553754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0.17065008776315946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321.0567347929383</v>
      </c>
      <c r="C26" s="247">
        <f>B26*'GWP N2O_CH4'!B5</f>
        <v>6742.1914306517046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101.56690729420598</v>
      </c>
      <c r="C27" s="247">
        <f>B27*'GWP N2O_CH4'!B5</f>
        <v>2132.9050531783255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4.1688883894033326</v>
      </c>
      <c r="C28" s="247">
        <f>B28*'GWP N2O_CH4'!B4</f>
        <v>1292.3554007150331</v>
      </c>
      <c r="D28" s="50"/>
    </row>
    <row r="29" spans="1:4">
      <c r="A29" s="41" t="s">
        <v>277</v>
      </c>
      <c r="B29" s="247">
        <f>B34*'ha_N2O bodem landbouw'!B4</f>
        <v>12.588404021742948</v>
      </c>
      <c r="C29" s="247">
        <f>B29*'GWP N2O_CH4'!B4</f>
        <v>3902.4052467403139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2.8726304161915623E-3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1.5792843923941196E-4</v>
      </c>
      <c r="C5" s="463" t="s">
        <v>211</v>
      </c>
      <c r="D5" s="448">
        <f>SUM(D6:D11)</f>
        <v>5.0085420326130017E-4</v>
      </c>
      <c r="E5" s="448">
        <f>SUM(E6:E11)</f>
        <v>7.613415911468846E-4</v>
      </c>
      <c r="F5" s="461" t="s">
        <v>211</v>
      </c>
      <c r="G5" s="448">
        <f>SUM(G6:G11)</f>
        <v>0.38826729796496545</v>
      </c>
      <c r="H5" s="448">
        <f>SUM(H6:H11)</f>
        <v>5.8055379583701071E-2</v>
      </c>
      <c r="I5" s="463" t="s">
        <v>211</v>
      </c>
      <c r="J5" s="463" t="s">
        <v>211</v>
      </c>
      <c r="K5" s="463" t="s">
        <v>211</v>
      </c>
      <c r="L5" s="463" t="s">
        <v>211</v>
      </c>
      <c r="M5" s="448">
        <f>SUM(M6:M11)</f>
        <v>2.4397600103656578E-2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7.3908380098975133E-5</v>
      </c>
      <c r="C6" s="449"/>
      <c r="D6" s="892">
        <f>vkm_2011_GW_PW*SUMIFS(TableVerdeelsleutelVkm[CNG],TableVerdeelsleutelVkm[Voertuigtype],"Lichte voertuigen")*SUMIFS(TableECFTransport[EnergieConsumptieFactor (PJ per km)],TableECFTransport[Index],CONCATENATE($A6,"_CNG_CNG"))</f>
        <v>2.2168272074527288E-4</v>
      </c>
      <c r="E6" s="892">
        <f>vkm_2011_GW_PW*SUMIFS(TableVerdeelsleutelVkm[LPG],TableVerdeelsleutelVkm[Voertuigtype],"Lichte voertuigen")*SUMIFS(TableECFTransport[EnergieConsumptieFactor (PJ per km)],TableECFTransport[Index],CONCATENATE($A6,"_LPG_LPG"))</f>
        <v>3.0285043969157537E-4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7.8303240824308687E-2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2.5213858684610947E-2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5.3186326135853702E-3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5.4735839868983976E-2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1.6682371754148702E-5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3.1985778137017576E-3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7.0855296420374794E-6</v>
      </c>
      <c r="C8" s="449"/>
      <c r="D8" s="451">
        <f>vkm_2011_NGW_PW*SUMIFS(TableVerdeelsleutelVkm[CNG],TableVerdeelsleutelVkm[Voertuigtype],"Lichte voertuigen")*SUMIFS(TableECFTransport[EnergieConsumptieFactor (PJ per km)],TableECFTransport[Index],CONCATENATE($A8,"_CNG_CNG"))</f>
        <v>3.7787222553568886E-5</v>
      </c>
      <c r="E8" s="451">
        <f>vkm_2011_NGW_PW*SUMIFS(TableVerdeelsleutelVkm[LPG],TableVerdeelsleutelVkm[Voertuigtype],"Lichte voertuigen")*SUMIFS(TableECFTransport[EnergieConsumptieFactor (PJ per km)],TableECFTransport[Index],CONCATENATE($A8,"_LPG_LPG"))</f>
        <v>4.78085464422366E-5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1.1519235921342153E-2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4.1765802819664407E-3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7.9620951474244548E-4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1.8828852135908121E-3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5.4024443917372104E-7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1.1002846790994478E-4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7.6934529498399342E-5</v>
      </c>
      <c r="C10" s="449"/>
      <c r="D10" s="451">
        <f>vkm_2011_SW_PW*SUMIFS(TableVerdeelsleutelVkm[CNG],TableVerdeelsleutelVkm[Voertuigtype],"Lichte voertuigen")*SUMIFS(TableECFTransport[EnergieConsumptieFactor (PJ per km)],TableECFTransport[Index],CONCATENATE($A10,"_CNG_CNG"))</f>
        <v>2.4138425996245841E-4</v>
      </c>
      <c r="E10" s="451">
        <f>vkm_2011_SW_PW*SUMIFS(TableVerdeelsleutelVkm[LPG],TableVerdeelsleutelVkm[Voertuigtype],"Lichte voertuigen")*SUMIFS(TableECFTransport[EnergieConsumptieFactor (PJ per km)],TableECFTransport[Index],CONCATENATE($A10,"_LPG_LPG"))</f>
        <v>4.1068260501307262E-4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9.4663270938100563E-2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2.8599282515982816E-2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6.3743470180139322E-3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0.14716282519863924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4.8435484947546312E-5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8.599804675703128E-3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43.86901089983666</v>
      </c>
      <c r="C14" s="21"/>
      <c r="D14" s="21">
        <f t="shared" ref="D14:M14" si="0">((D5)*10^9/3600)+D12</f>
        <v>139.12616757258337</v>
      </c>
      <c r="E14" s="21">
        <f t="shared" si="0"/>
        <v>211.48377531857906</v>
      </c>
      <c r="F14" s="21"/>
      <c r="G14" s="21">
        <f t="shared" si="0"/>
        <v>107852.0272124904</v>
      </c>
      <c r="H14" s="21">
        <f t="shared" si="0"/>
        <v>16126.494328805855</v>
      </c>
      <c r="I14" s="21"/>
      <c r="J14" s="21"/>
      <c r="K14" s="21"/>
      <c r="L14" s="21"/>
      <c r="M14" s="21">
        <f t="shared" si="0"/>
        <v>6777.1111399046049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0.21650601768866221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9.4979048498641507</v>
      </c>
      <c r="C18" s="23"/>
      <c r="D18" s="23">
        <f t="shared" ref="D18:M18" si="1">D14*D16</f>
        <v>28.103485849661844</v>
      </c>
      <c r="E18" s="23">
        <f t="shared" si="1"/>
        <v>48.006816997317451</v>
      </c>
      <c r="F18" s="23"/>
      <c r="G18" s="23">
        <f t="shared" si="1"/>
        <v>28796.491265734938</v>
      </c>
      <c r="H18" s="23">
        <f t="shared" si="1"/>
        <v>4015.4970878726576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2.9761222499999998E-3</v>
      </c>
      <c r="C50" s="321">
        <f t="shared" ref="C50:P50" si="2">SUM(C51:C52)</f>
        <v>0</v>
      </c>
      <c r="D50" s="321">
        <f t="shared" si="2"/>
        <v>0</v>
      </c>
      <c r="E50" s="321">
        <f t="shared" si="2"/>
        <v>0</v>
      </c>
      <c r="F50" s="321">
        <f t="shared" si="2"/>
        <v>0</v>
      </c>
      <c r="G50" s="321">
        <f t="shared" si="2"/>
        <v>2.3230638081945579E-3</v>
      </c>
      <c r="H50" s="321">
        <f t="shared" si="2"/>
        <v>0</v>
      </c>
      <c r="I50" s="321">
        <f t="shared" si="2"/>
        <v>0</v>
      </c>
      <c r="J50" s="321">
        <f t="shared" si="2"/>
        <v>0</v>
      </c>
      <c r="K50" s="321">
        <f t="shared" si="2"/>
        <v>0</v>
      </c>
      <c r="L50" s="321">
        <f t="shared" si="2"/>
        <v>0</v>
      </c>
      <c r="M50" s="321">
        <f t="shared" si="2"/>
        <v>1.319397689628234E-4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2.3230638081945579E-3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1.319397689628234E-4</v>
      </c>
      <c r="N51" s="323"/>
      <c r="O51" s="323"/>
      <c r="P51" s="326"/>
    </row>
    <row r="52" spans="1:18">
      <c r="A52" s="4" t="s">
        <v>330</v>
      </c>
      <c r="B52" s="893">
        <f>vkm_2011_tram*SUMIFS(TableECFTransport[EnergieConsumptieFactor (PJ per km)],TableECFTransport[Index],"Tram_gemiddeld_Electric_Electric")</f>
        <v>2.9761222499999998E-3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826.70062499999983</v>
      </c>
      <c r="C54" s="21">
        <f t="shared" ref="C54:P54" si="3">(C50)*10^9/3600</f>
        <v>0</v>
      </c>
      <c r="D54" s="21">
        <f t="shared" si="3"/>
        <v>0</v>
      </c>
      <c r="E54" s="21">
        <f t="shared" si="3"/>
        <v>0</v>
      </c>
      <c r="F54" s="21">
        <f t="shared" si="3"/>
        <v>0</v>
      </c>
      <c r="G54" s="21">
        <f t="shared" si="3"/>
        <v>645.29550227626612</v>
      </c>
      <c r="H54" s="21">
        <f t="shared" si="3"/>
        <v>0</v>
      </c>
      <c r="I54" s="21">
        <f t="shared" si="3"/>
        <v>0</v>
      </c>
      <c r="J54" s="21">
        <f t="shared" si="3"/>
        <v>0</v>
      </c>
      <c r="K54" s="21">
        <f t="shared" si="3"/>
        <v>0</v>
      </c>
      <c r="L54" s="21">
        <f t="shared" si="3"/>
        <v>0</v>
      </c>
      <c r="M54" s="21">
        <f t="shared" si="3"/>
        <v>36.649935823006501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0.21650601768866221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178.98566013947806</v>
      </c>
      <c r="C58" s="23">
        <f t="shared" ref="C58:P58" ca="1" si="4">C54*C56</f>
        <v>0</v>
      </c>
      <c r="D58" s="23">
        <f t="shared" si="4"/>
        <v>0</v>
      </c>
      <c r="E58" s="23">
        <f t="shared" si="4"/>
        <v>0</v>
      </c>
      <c r="F58" s="23">
        <f t="shared" si="4"/>
        <v>0</v>
      </c>
      <c r="G58" s="23">
        <f t="shared" si="4"/>
        <v>172.29389910776305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37000.989407883186</v>
      </c>
      <c r="D10" s="1013">
        <f ca="1">tertiair!C16</f>
        <v>0</v>
      </c>
      <c r="E10" s="1013">
        <f ca="1">tertiair!D16</f>
        <v>41991.050498904879</v>
      </c>
      <c r="F10" s="1013">
        <f>tertiair!E16</f>
        <v>495.88214192955195</v>
      </c>
      <c r="G10" s="1013">
        <f ca="1">tertiair!F16</f>
        <v>6073.1494775571882</v>
      </c>
      <c r="H10" s="1013">
        <f>tertiair!G16</f>
        <v>0</v>
      </c>
      <c r="I10" s="1013">
        <f>tertiair!H16</f>
        <v>0</v>
      </c>
      <c r="J10" s="1013">
        <f>tertiair!I16</f>
        <v>0</v>
      </c>
      <c r="K10" s="1013">
        <f>tertiair!J16</f>
        <v>7.5796307010755168E-2</v>
      </c>
      <c r="L10" s="1013">
        <f>tertiair!K16</f>
        <v>0</v>
      </c>
      <c r="M10" s="1013">
        <f ca="1">tertiair!L16</f>
        <v>0</v>
      </c>
      <c r="N10" s="1013">
        <f>tertiair!M16</f>
        <v>0</v>
      </c>
      <c r="O10" s="1013">
        <f ca="1">tertiair!N16</f>
        <v>3027.1734446889018</v>
      </c>
      <c r="P10" s="1013">
        <f>tertiair!O16</f>
        <v>7.8166666666666664</v>
      </c>
      <c r="Q10" s="1014">
        <f>tertiair!P16</f>
        <v>19.066666666666666</v>
      </c>
      <c r="R10" s="700">
        <f ca="1">SUM(C10:Q10)</f>
        <v>88615.204100604053</v>
      </c>
      <c r="S10" s="67"/>
    </row>
    <row r="11" spans="1:19" s="473" customFormat="1">
      <c r="A11" s="809" t="s">
        <v>225</v>
      </c>
      <c r="B11" s="814"/>
      <c r="C11" s="1013">
        <f>huishoudens!B8</f>
        <v>27073.82701478829</v>
      </c>
      <c r="D11" s="1013">
        <f>huishoudens!C8</f>
        <v>0</v>
      </c>
      <c r="E11" s="1013">
        <f>huishoudens!D8</f>
        <v>47031.056815863973</v>
      </c>
      <c r="F11" s="1013">
        <f>huishoudens!E8</f>
        <v>1115.0944489082376</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3800.1813471729693</v>
      </c>
      <c r="P11" s="1013">
        <f>huishoudens!O8</f>
        <v>120.37666666666668</v>
      </c>
      <c r="Q11" s="1014">
        <f>huishoudens!P8</f>
        <v>1067.7333333333333</v>
      </c>
      <c r="R11" s="700">
        <f>SUM(C11:Q11)</f>
        <v>80208.269626733469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5639.2965509758087</v>
      </c>
      <c r="D13" s="1013">
        <f>industrie!C18</f>
        <v>0</v>
      </c>
      <c r="E13" s="1013">
        <f>industrie!D18</f>
        <v>4414.8197841974434</v>
      </c>
      <c r="F13" s="1013">
        <f>industrie!E18</f>
        <v>789.91148841824645</v>
      </c>
      <c r="G13" s="1013">
        <f>industrie!F18</f>
        <v>2342.6032435139859</v>
      </c>
      <c r="H13" s="1013">
        <f>industrie!G18</f>
        <v>0</v>
      </c>
      <c r="I13" s="1013">
        <f>industrie!H18</f>
        <v>0</v>
      </c>
      <c r="J13" s="1013">
        <f>industrie!I18</f>
        <v>0</v>
      </c>
      <c r="K13" s="1013">
        <f>industrie!J18</f>
        <v>9.438787216482071</v>
      </c>
      <c r="L13" s="1013">
        <f>industrie!K18</f>
        <v>0</v>
      </c>
      <c r="M13" s="1013">
        <f>industrie!L18</f>
        <v>0</v>
      </c>
      <c r="N13" s="1013">
        <f>industrie!M18</f>
        <v>0</v>
      </c>
      <c r="O13" s="1013">
        <f>industrie!N18</f>
        <v>1359.8518883908005</v>
      </c>
      <c r="P13" s="1013">
        <f>industrie!O18</f>
        <v>0</v>
      </c>
      <c r="Q13" s="1014">
        <f>industrie!P18</f>
        <v>0</v>
      </c>
      <c r="R13" s="700">
        <f>SUM(C13:Q13)</f>
        <v>14555.921742712768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69714.112973647279</v>
      </c>
      <c r="D16" s="732">
        <f t="shared" ref="D16:R16" ca="1" si="0">SUM(D9:D15)</f>
        <v>0</v>
      </c>
      <c r="E16" s="732">
        <f t="shared" ca="1" si="0"/>
        <v>93436.927098966305</v>
      </c>
      <c r="F16" s="732">
        <f t="shared" si="0"/>
        <v>2400.8880792560358</v>
      </c>
      <c r="G16" s="732">
        <f t="shared" ca="1" si="0"/>
        <v>8415.7527210711742</v>
      </c>
      <c r="H16" s="732">
        <f t="shared" si="0"/>
        <v>0</v>
      </c>
      <c r="I16" s="732">
        <f t="shared" si="0"/>
        <v>0</v>
      </c>
      <c r="J16" s="732">
        <f t="shared" si="0"/>
        <v>0</v>
      </c>
      <c r="K16" s="732">
        <f t="shared" si="0"/>
        <v>9.514583523492826</v>
      </c>
      <c r="L16" s="732">
        <f t="shared" si="0"/>
        <v>0</v>
      </c>
      <c r="M16" s="732">
        <f t="shared" ca="1" si="0"/>
        <v>0</v>
      </c>
      <c r="N16" s="732">
        <f t="shared" si="0"/>
        <v>0</v>
      </c>
      <c r="O16" s="732">
        <f t="shared" ca="1" si="0"/>
        <v>8187.2066802526715</v>
      </c>
      <c r="P16" s="732">
        <f t="shared" si="0"/>
        <v>128.19333333333336</v>
      </c>
      <c r="Q16" s="732">
        <f t="shared" si="0"/>
        <v>1086.8</v>
      </c>
      <c r="R16" s="732">
        <f t="shared" ca="1" si="0"/>
        <v>183379.39547005028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826.70062499999983</v>
      </c>
      <c r="D19" s="1013">
        <f>transport!C54</f>
        <v>0</v>
      </c>
      <c r="E19" s="1013">
        <f>transport!D54</f>
        <v>0</v>
      </c>
      <c r="F19" s="1013">
        <f>transport!E54</f>
        <v>0</v>
      </c>
      <c r="G19" s="1013">
        <f>transport!F54</f>
        <v>0</v>
      </c>
      <c r="H19" s="1013">
        <f>transport!G54</f>
        <v>645.29550227626612</v>
      </c>
      <c r="I19" s="1013">
        <f>transport!H54</f>
        <v>0</v>
      </c>
      <c r="J19" s="1013">
        <f>transport!I54</f>
        <v>0</v>
      </c>
      <c r="K19" s="1013">
        <f>transport!J54</f>
        <v>0</v>
      </c>
      <c r="L19" s="1013">
        <f>transport!K54</f>
        <v>0</v>
      </c>
      <c r="M19" s="1013">
        <f>transport!L54</f>
        <v>0</v>
      </c>
      <c r="N19" s="1013">
        <f>transport!M54</f>
        <v>36.649935823006501</v>
      </c>
      <c r="O19" s="1013">
        <f>transport!N54</f>
        <v>0</v>
      </c>
      <c r="P19" s="1013">
        <f>transport!O54</f>
        <v>0</v>
      </c>
      <c r="Q19" s="1014">
        <f>transport!P54</f>
        <v>0</v>
      </c>
      <c r="R19" s="700">
        <f>SUM(C19:Q19)</f>
        <v>1508.6460630992724</v>
      </c>
      <c r="S19" s="67"/>
    </row>
    <row r="20" spans="1:19" s="473" customFormat="1">
      <c r="A20" s="809" t="s">
        <v>307</v>
      </c>
      <c r="B20" s="814"/>
      <c r="C20" s="1013">
        <f>transport!B14</f>
        <v>43.86901089983666</v>
      </c>
      <c r="D20" s="1013">
        <f>transport!C14</f>
        <v>0</v>
      </c>
      <c r="E20" s="1013">
        <f>transport!D14</f>
        <v>139.12616757258337</v>
      </c>
      <c r="F20" s="1013">
        <f>transport!E14</f>
        <v>211.48377531857906</v>
      </c>
      <c r="G20" s="1013">
        <f>transport!F14</f>
        <v>0</v>
      </c>
      <c r="H20" s="1013">
        <f>transport!G14</f>
        <v>107852.0272124904</v>
      </c>
      <c r="I20" s="1013">
        <f>transport!H14</f>
        <v>16126.494328805855</v>
      </c>
      <c r="J20" s="1013">
        <f>transport!I14</f>
        <v>0</v>
      </c>
      <c r="K20" s="1013">
        <f>transport!J14</f>
        <v>0</v>
      </c>
      <c r="L20" s="1013">
        <f>transport!K14</f>
        <v>0</v>
      </c>
      <c r="M20" s="1013">
        <f>transport!L14</f>
        <v>0</v>
      </c>
      <c r="N20" s="1013">
        <f>transport!M14</f>
        <v>6777.1111399046049</v>
      </c>
      <c r="O20" s="1013">
        <f>transport!N14</f>
        <v>0</v>
      </c>
      <c r="P20" s="1013">
        <f>transport!O14</f>
        <v>0</v>
      </c>
      <c r="Q20" s="1014">
        <f>transport!P14</f>
        <v>0</v>
      </c>
      <c r="R20" s="700">
        <f>SUM(C20:Q20)</f>
        <v>131150.11163499186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870.5696358998365</v>
      </c>
      <c r="D22" s="812">
        <f t="shared" ref="D22:R22" si="1">SUM(D18:D21)</f>
        <v>0</v>
      </c>
      <c r="E22" s="812">
        <f t="shared" si="1"/>
        <v>139.12616757258337</v>
      </c>
      <c r="F22" s="812">
        <f t="shared" si="1"/>
        <v>211.48377531857906</v>
      </c>
      <c r="G22" s="812">
        <f t="shared" si="1"/>
        <v>0</v>
      </c>
      <c r="H22" s="812">
        <f t="shared" si="1"/>
        <v>108497.32271476666</v>
      </c>
      <c r="I22" s="812">
        <f t="shared" si="1"/>
        <v>16126.494328805855</v>
      </c>
      <c r="J22" s="812">
        <f t="shared" si="1"/>
        <v>0</v>
      </c>
      <c r="K22" s="812">
        <f t="shared" si="1"/>
        <v>0</v>
      </c>
      <c r="L22" s="812">
        <f t="shared" si="1"/>
        <v>0</v>
      </c>
      <c r="M22" s="812">
        <f t="shared" si="1"/>
        <v>0</v>
      </c>
      <c r="N22" s="812">
        <f t="shared" si="1"/>
        <v>6813.7610757276116</v>
      </c>
      <c r="O22" s="812">
        <f t="shared" si="1"/>
        <v>0</v>
      </c>
      <c r="P22" s="812">
        <f t="shared" si="1"/>
        <v>0</v>
      </c>
      <c r="Q22" s="812">
        <f t="shared" si="1"/>
        <v>0</v>
      </c>
      <c r="R22" s="812">
        <f t="shared" si="1"/>
        <v>132658.75769809113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1202.5814994980203</v>
      </c>
      <c r="D24" s="1013">
        <f>+landbouw!C8</f>
        <v>0</v>
      </c>
      <c r="E24" s="1013">
        <f>+landbouw!D8</f>
        <v>159.20014068686174</v>
      </c>
      <c r="F24" s="1013">
        <f>+landbouw!E8</f>
        <v>35.347543378101889</v>
      </c>
      <c r="G24" s="1013">
        <f>+landbouw!F8</f>
        <v>5009.8895428153828</v>
      </c>
      <c r="H24" s="1013">
        <f>+landbouw!G8</f>
        <v>0</v>
      </c>
      <c r="I24" s="1013">
        <f>+landbouw!H8</f>
        <v>0</v>
      </c>
      <c r="J24" s="1013">
        <f>+landbouw!I8</f>
        <v>0</v>
      </c>
      <c r="K24" s="1013">
        <f>+landbouw!J8</f>
        <v>174.22823354393716</v>
      </c>
      <c r="L24" s="1013">
        <f>+landbouw!K8</f>
        <v>0</v>
      </c>
      <c r="M24" s="1013">
        <f>+landbouw!L8</f>
        <v>0</v>
      </c>
      <c r="N24" s="1013">
        <f>+landbouw!M8</f>
        <v>0</v>
      </c>
      <c r="O24" s="1013">
        <f>+landbouw!N8</f>
        <v>0</v>
      </c>
      <c r="P24" s="1013">
        <f>+landbouw!O8</f>
        <v>0</v>
      </c>
      <c r="Q24" s="1014">
        <f>+landbouw!P8</f>
        <v>0</v>
      </c>
      <c r="R24" s="700">
        <f>SUM(C24:Q24)</f>
        <v>6581.2469599223032</v>
      </c>
      <c r="S24" s="67"/>
    </row>
    <row r="25" spans="1:19" s="473" customFormat="1" ht="15" thickBot="1">
      <c r="A25" s="831" t="s">
        <v>836</v>
      </c>
      <c r="B25" s="1016"/>
      <c r="C25" s="1017">
        <f>IF(Onbekend_ele_kWh="---",0,Onbekend_ele_kWh)/1000+IF(REST_rest_ele_kWh="---",0,REST_rest_ele_kWh)/1000</f>
        <v>10288.164999943901</v>
      </c>
      <c r="D25" s="1017"/>
      <c r="E25" s="1017">
        <f>IF(onbekend_gas_kWh="---",0,onbekend_gas_kWh)/1000+IF(REST_rest_gas_kWh="---",0,REST_rest_gas_kWh)/1000</f>
        <v>9133.7646395192114</v>
      </c>
      <c r="F25" s="1017"/>
      <c r="G25" s="1017"/>
      <c r="H25" s="1017"/>
      <c r="I25" s="1017"/>
      <c r="J25" s="1017"/>
      <c r="K25" s="1017"/>
      <c r="L25" s="1017"/>
      <c r="M25" s="1017"/>
      <c r="N25" s="1017"/>
      <c r="O25" s="1017"/>
      <c r="P25" s="1017"/>
      <c r="Q25" s="1018"/>
      <c r="R25" s="700">
        <f>SUM(C25:Q25)</f>
        <v>19421.929639463113</v>
      </c>
      <c r="S25" s="67"/>
    </row>
    <row r="26" spans="1:19" s="473" customFormat="1" ht="15.75" thickBot="1">
      <c r="A26" s="705" t="s">
        <v>837</v>
      </c>
      <c r="B26" s="817"/>
      <c r="C26" s="812">
        <f>SUM(C24:C25)</f>
        <v>11490.746499441922</v>
      </c>
      <c r="D26" s="812">
        <f t="shared" ref="D26:R26" si="2">SUM(D24:D25)</f>
        <v>0</v>
      </c>
      <c r="E26" s="812">
        <f t="shared" si="2"/>
        <v>9292.9647802060736</v>
      </c>
      <c r="F26" s="812">
        <f t="shared" si="2"/>
        <v>35.347543378101889</v>
      </c>
      <c r="G26" s="812">
        <f t="shared" si="2"/>
        <v>5009.8895428153828</v>
      </c>
      <c r="H26" s="812">
        <f t="shared" si="2"/>
        <v>0</v>
      </c>
      <c r="I26" s="812">
        <f t="shared" si="2"/>
        <v>0</v>
      </c>
      <c r="J26" s="812">
        <f t="shared" si="2"/>
        <v>0</v>
      </c>
      <c r="K26" s="812">
        <f t="shared" si="2"/>
        <v>174.22823354393716</v>
      </c>
      <c r="L26" s="812">
        <f t="shared" si="2"/>
        <v>0</v>
      </c>
      <c r="M26" s="812">
        <f t="shared" si="2"/>
        <v>0</v>
      </c>
      <c r="N26" s="812">
        <f t="shared" si="2"/>
        <v>0</v>
      </c>
      <c r="O26" s="812">
        <f t="shared" si="2"/>
        <v>0</v>
      </c>
      <c r="P26" s="812">
        <f t="shared" si="2"/>
        <v>0</v>
      </c>
      <c r="Q26" s="812">
        <f t="shared" si="2"/>
        <v>0</v>
      </c>
      <c r="R26" s="812">
        <f t="shared" si="2"/>
        <v>26003.176599385417</v>
      </c>
      <c r="S26" s="67"/>
    </row>
    <row r="27" spans="1:19" s="473" customFormat="1" ht="17.25" thickTop="1" thickBot="1">
      <c r="A27" s="706" t="s">
        <v>116</v>
      </c>
      <c r="B27" s="805"/>
      <c r="C27" s="707">
        <f ca="1">C22+C16+C26</f>
        <v>82075.429108989047</v>
      </c>
      <c r="D27" s="707">
        <f t="shared" ref="D27:R27" ca="1" si="3">D22+D16+D26</f>
        <v>0</v>
      </c>
      <c r="E27" s="707">
        <f t="shared" ca="1" si="3"/>
        <v>102869.01804674497</v>
      </c>
      <c r="F27" s="707">
        <f t="shared" si="3"/>
        <v>2647.7193979527165</v>
      </c>
      <c r="G27" s="707">
        <f t="shared" ca="1" si="3"/>
        <v>13425.642263886557</v>
      </c>
      <c r="H27" s="707">
        <f t="shared" si="3"/>
        <v>108497.32271476666</v>
      </c>
      <c r="I27" s="707">
        <f t="shared" si="3"/>
        <v>16126.494328805855</v>
      </c>
      <c r="J27" s="707">
        <f t="shared" si="3"/>
        <v>0</v>
      </c>
      <c r="K27" s="707">
        <f t="shared" si="3"/>
        <v>183.74281706743</v>
      </c>
      <c r="L27" s="707">
        <f t="shared" si="3"/>
        <v>0</v>
      </c>
      <c r="M27" s="707">
        <f t="shared" ca="1" si="3"/>
        <v>0</v>
      </c>
      <c r="N27" s="707">
        <f t="shared" si="3"/>
        <v>6813.7610757276116</v>
      </c>
      <c r="O27" s="707">
        <f t="shared" ca="1" si="3"/>
        <v>8187.2066802526715</v>
      </c>
      <c r="P27" s="707">
        <f t="shared" si="3"/>
        <v>128.19333333333336</v>
      </c>
      <c r="Q27" s="707">
        <f t="shared" si="3"/>
        <v>1086.8</v>
      </c>
      <c r="R27" s="707">
        <f t="shared" ca="1" si="3"/>
        <v>342041.32976752677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8010.9368672411601</v>
      </c>
      <c r="D40" s="1013">
        <f ca="1">tertiair!C20</f>
        <v>0</v>
      </c>
      <c r="E40" s="1013">
        <f ca="1">tertiair!D20</f>
        <v>8482.1922007787853</v>
      </c>
      <c r="F40" s="1013">
        <f>tertiair!E20</f>
        <v>112.5652462180083</v>
      </c>
      <c r="G40" s="1013">
        <f ca="1">tertiair!F20</f>
        <v>1621.5309105077692</v>
      </c>
      <c r="H40" s="1013">
        <f>tertiair!G20</f>
        <v>0</v>
      </c>
      <c r="I40" s="1013">
        <f>tertiair!H20</f>
        <v>0</v>
      </c>
      <c r="J40" s="1013">
        <f>tertiair!I20</f>
        <v>0</v>
      </c>
      <c r="K40" s="1013">
        <f>tertiair!J20</f>
        <v>2.6831892681807329E-2</v>
      </c>
      <c r="L40" s="1013">
        <f>tertiair!K20</f>
        <v>0</v>
      </c>
      <c r="M40" s="1013">
        <f ca="1">tertiair!L20</f>
        <v>0</v>
      </c>
      <c r="N40" s="1013">
        <f>tertiair!M20</f>
        <v>0</v>
      </c>
      <c r="O40" s="1013">
        <f ca="1">tertiair!N20</f>
        <v>0</v>
      </c>
      <c r="P40" s="1013">
        <f>tertiair!O20</f>
        <v>0</v>
      </c>
      <c r="Q40" s="774">
        <f>tertiair!P20</f>
        <v>0</v>
      </c>
      <c r="R40" s="850">
        <f t="shared" ca="1" si="4"/>
        <v>18227.252056638405</v>
      </c>
    </row>
    <row r="41" spans="1:18">
      <c r="A41" s="822" t="s">
        <v>225</v>
      </c>
      <c r="B41" s="829"/>
      <c r="C41" s="1013">
        <f ca="1">huishoudens!B12</f>
        <v>5861.6464705635344</v>
      </c>
      <c r="D41" s="1013">
        <f ca="1">huishoudens!C12</f>
        <v>0</v>
      </c>
      <c r="E41" s="1013">
        <f>huishoudens!D12</f>
        <v>9500.2734768045229</v>
      </c>
      <c r="F41" s="1013">
        <f>huishoudens!E12</f>
        <v>253.12643990216995</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15615.046387270226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1220.9416388171803</v>
      </c>
      <c r="D43" s="1013">
        <f ca="1">industrie!C22</f>
        <v>0</v>
      </c>
      <c r="E43" s="1013">
        <f>industrie!D22</f>
        <v>891.79359640788357</v>
      </c>
      <c r="F43" s="1013">
        <f>industrie!E22</f>
        <v>179.30990787094194</v>
      </c>
      <c r="G43" s="1013">
        <f>industrie!F22</f>
        <v>625.47506601823432</v>
      </c>
      <c r="H43" s="1013">
        <f>industrie!G22</f>
        <v>0</v>
      </c>
      <c r="I43" s="1013">
        <f>industrie!H22</f>
        <v>0</v>
      </c>
      <c r="J43" s="1013">
        <f>industrie!I22</f>
        <v>0</v>
      </c>
      <c r="K43" s="1013">
        <f>industrie!J22</f>
        <v>3.3413306746346532</v>
      </c>
      <c r="L43" s="1013">
        <f>industrie!K22</f>
        <v>0</v>
      </c>
      <c r="M43" s="1013">
        <f>industrie!L22</f>
        <v>0</v>
      </c>
      <c r="N43" s="1013">
        <f>industrie!M22</f>
        <v>0</v>
      </c>
      <c r="O43" s="1013">
        <f>industrie!N22</f>
        <v>0</v>
      </c>
      <c r="P43" s="1013">
        <f>industrie!O22</f>
        <v>0</v>
      </c>
      <c r="Q43" s="774">
        <f>industrie!P22</f>
        <v>0</v>
      </c>
      <c r="R43" s="849">
        <f t="shared" ca="1" si="4"/>
        <v>2920.8615397888748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15093.524976621877</v>
      </c>
      <c r="D46" s="732">
        <f t="shared" ref="D46:Q46" ca="1" si="5">SUM(D39:D45)</f>
        <v>0</v>
      </c>
      <c r="E46" s="732">
        <f t="shared" ca="1" si="5"/>
        <v>18874.259273991189</v>
      </c>
      <c r="F46" s="732">
        <f t="shared" si="5"/>
        <v>545.00159399112022</v>
      </c>
      <c r="G46" s="732">
        <f t="shared" ca="1" si="5"/>
        <v>2247.0059765260035</v>
      </c>
      <c r="H46" s="732">
        <f t="shared" si="5"/>
        <v>0</v>
      </c>
      <c r="I46" s="732">
        <f t="shared" si="5"/>
        <v>0</v>
      </c>
      <c r="J46" s="732">
        <f t="shared" si="5"/>
        <v>0</v>
      </c>
      <c r="K46" s="732">
        <f t="shared" si="5"/>
        <v>3.3681625673164604</v>
      </c>
      <c r="L46" s="732">
        <f t="shared" si="5"/>
        <v>0</v>
      </c>
      <c r="M46" s="732">
        <f t="shared" ca="1" si="5"/>
        <v>0</v>
      </c>
      <c r="N46" s="732">
        <f t="shared" si="5"/>
        <v>0</v>
      </c>
      <c r="O46" s="732">
        <f t="shared" ca="1" si="5"/>
        <v>0</v>
      </c>
      <c r="P46" s="732">
        <f t="shared" si="5"/>
        <v>0</v>
      </c>
      <c r="Q46" s="732">
        <f t="shared" si="5"/>
        <v>0</v>
      </c>
      <c r="R46" s="732">
        <f ca="1">SUM(R39:R45)</f>
        <v>36763.1599836975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178.98566013947806</v>
      </c>
      <c r="D49" s="1013">
        <f ca="1">transport!C58</f>
        <v>0</v>
      </c>
      <c r="E49" s="1013">
        <f>transport!D58</f>
        <v>0</v>
      </c>
      <c r="F49" s="1013">
        <f>transport!E58</f>
        <v>0</v>
      </c>
      <c r="G49" s="1013">
        <f>transport!F58</f>
        <v>0</v>
      </c>
      <c r="H49" s="1013">
        <f>transport!G58</f>
        <v>172.29389910776305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351.27955924724108</v>
      </c>
    </row>
    <row r="50" spans="1:18">
      <c r="A50" s="825" t="s">
        <v>307</v>
      </c>
      <c r="B50" s="835"/>
      <c r="C50" s="703">
        <f ca="1">transport!B18</f>
        <v>9.4979048498641507</v>
      </c>
      <c r="D50" s="703">
        <f>transport!C18</f>
        <v>0</v>
      </c>
      <c r="E50" s="703">
        <f>transport!D18</f>
        <v>28.103485849661844</v>
      </c>
      <c r="F50" s="703">
        <f>transport!E18</f>
        <v>48.006816997317451</v>
      </c>
      <c r="G50" s="703">
        <f>transport!F18</f>
        <v>0</v>
      </c>
      <c r="H50" s="703">
        <f>transport!G18</f>
        <v>28796.491265734938</v>
      </c>
      <c r="I50" s="703">
        <f>transport!H18</f>
        <v>4015.4970878726576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32897.596561304439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188.4835649893422</v>
      </c>
      <c r="D52" s="732">
        <f t="shared" ref="D52:Q52" ca="1" si="6">SUM(D48:D51)</f>
        <v>0</v>
      </c>
      <c r="E52" s="732">
        <f t="shared" si="6"/>
        <v>28.103485849661844</v>
      </c>
      <c r="F52" s="732">
        <f t="shared" si="6"/>
        <v>48.006816997317451</v>
      </c>
      <c r="G52" s="732">
        <f t="shared" si="6"/>
        <v>0</v>
      </c>
      <c r="H52" s="732">
        <f t="shared" si="6"/>
        <v>28968.785164842702</v>
      </c>
      <c r="I52" s="732">
        <f t="shared" si="6"/>
        <v>4015.4970878726576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33248.876120551678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260.36613140237631</v>
      </c>
      <c r="D54" s="703">
        <f ca="1">+landbouw!C12</f>
        <v>0</v>
      </c>
      <c r="E54" s="703">
        <f>+landbouw!D12</f>
        <v>32.158428418746077</v>
      </c>
      <c r="F54" s="703">
        <f>+landbouw!E12</f>
        <v>8.023892346829129</v>
      </c>
      <c r="G54" s="703">
        <f>+landbouw!F12</f>
        <v>1337.6405079317074</v>
      </c>
      <c r="H54" s="703">
        <f>+landbouw!G12</f>
        <v>0</v>
      </c>
      <c r="I54" s="703">
        <f>+landbouw!H12</f>
        <v>0</v>
      </c>
      <c r="J54" s="703">
        <f>+landbouw!I12</f>
        <v>0</v>
      </c>
      <c r="K54" s="703">
        <f>+landbouw!J12</f>
        <v>61.676794674553754</v>
      </c>
      <c r="L54" s="703">
        <f>+landbouw!K12</f>
        <v>0</v>
      </c>
      <c r="M54" s="703">
        <f>+landbouw!L12</f>
        <v>0</v>
      </c>
      <c r="N54" s="703">
        <f>+landbouw!M12</f>
        <v>0</v>
      </c>
      <c r="O54" s="703">
        <f>+landbouw!N12</f>
        <v>0</v>
      </c>
      <c r="P54" s="703">
        <f>+landbouw!O12</f>
        <v>0</v>
      </c>
      <c r="Q54" s="704">
        <f>+landbouw!P12</f>
        <v>0</v>
      </c>
      <c r="R54" s="731">
        <f ca="1">SUM(C54:Q54)</f>
        <v>1699.8657547742127</v>
      </c>
    </row>
    <row r="55" spans="1:18" ht="15" thickBot="1">
      <c r="A55" s="825" t="s">
        <v>836</v>
      </c>
      <c r="B55" s="835"/>
      <c r="C55" s="703">
        <f ca="1">C25*'EF ele_warmte'!B12</f>
        <v>2227.4496334617297</v>
      </c>
      <c r="D55" s="703"/>
      <c r="E55" s="703">
        <f>E25*EF_CO2_aardgas</f>
        <v>1845.0204571828808</v>
      </c>
      <c r="F55" s="703"/>
      <c r="G55" s="703"/>
      <c r="H55" s="703"/>
      <c r="I55" s="703"/>
      <c r="J55" s="703"/>
      <c r="K55" s="703"/>
      <c r="L55" s="703"/>
      <c r="M55" s="703"/>
      <c r="N55" s="703"/>
      <c r="O55" s="703"/>
      <c r="P55" s="703"/>
      <c r="Q55" s="704"/>
      <c r="R55" s="731">
        <f ca="1">SUM(C55:Q55)</f>
        <v>4072.4700906446105</v>
      </c>
    </row>
    <row r="56" spans="1:18" ht="15.75" thickBot="1">
      <c r="A56" s="823" t="s">
        <v>837</v>
      </c>
      <c r="B56" s="836"/>
      <c r="C56" s="732">
        <f ca="1">SUM(C54:C55)</f>
        <v>2487.8157648641059</v>
      </c>
      <c r="D56" s="732">
        <f t="shared" ref="D56:Q56" ca="1" si="7">SUM(D54:D55)</f>
        <v>0</v>
      </c>
      <c r="E56" s="732">
        <f t="shared" si="7"/>
        <v>1877.1788856016269</v>
      </c>
      <c r="F56" s="732">
        <f t="shared" si="7"/>
        <v>8.023892346829129</v>
      </c>
      <c r="G56" s="732">
        <f t="shared" si="7"/>
        <v>1337.6405079317074</v>
      </c>
      <c r="H56" s="732">
        <f t="shared" si="7"/>
        <v>0</v>
      </c>
      <c r="I56" s="732">
        <f t="shared" si="7"/>
        <v>0</v>
      </c>
      <c r="J56" s="732">
        <f t="shared" si="7"/>
        <v>0</v>
      </c>
      <c r="K56" s="732">
        <f t="shared" si="7"/>
        <v>61.676794674553754</v>
      </c>
      <c r="L56" s="732">
        <f t="shared" si="7"/>
        <v>0</v>
      </c>
      <c r="M56" s="732">
        <f t="shared" si="7"/>
        <v>0</v>
      </c>
      <c r="N56" s="732">
        <f t="shared" si="7"/>
        <v>0</v>
      </c>
      <c r="O56" s="732">
        <f t="shared" si="7"/>
        <v>0</v>
      </c>
      <c r="P56" s="732">
        <f t="shared" si="7"/>
        <v>0</v>
      </c>
      <c r="Q56" s="733">
        <f t="shared" si="7"/>
        <v>0</v>
      </c>
      <c r="R56" s="734">
        <f ca="1">SUM(R54:R55)</f>
        <v>5772.3358454188237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17769.824306475326</v>
      </c>
      <c r="D61" s="740">
        <f t="shared" ref="D61:Q61" ca="1" si="8">D46+D52+D56</f>
        <v>0</v>
      </c>
      <c r="E61" s="740">
        <f t="shared" ca="1" si="8"/>
        <v>20779.541645442478</v>
      </c>
      <c r="F61" s="740">
        <f t="shared" si="8"/>
        <v>601.03230333526676</v>
      </c>
      <c r="G61" s="740">
        <f t="shared" ca="1" si="8"/>
        <v>3584.6464844577108</v>
      </c>
      <c r="H61" s="740">
        <f t="shared" si="8"/>
        <v>28968.785164842702</v>
      </c>
      <c r="I61" s="740">
        <f t="shared" si="8"/>
        <v>4015.4970878726576</v>
      </c>
      <c r="J61" s="740">
        <f t="shared" si="8"/>
        <v>0</v>
      </c>
      <c r="K61" s="740">
        <f t="shared" si="8"/>
        <v>65.044957241870208</v>
      </c>
      <c r="L61" s="740">
        <f t="shared" si="8"/>
        <v>0</v>
      </c>
      <c r="M61" s="740">
        <f t="shared" ca="1" si="8"/>
        <v>0</v>
      </c>
      <c r="N61" s="740">
        <f t="shared" si="8"/>
        <v>0</v>
      </c>
      <c r="O61" s="740">
        <f t="shared" ca="1" si="8"/>
        <v>0</v>
      </c>
      <c r="P61" s="740">
        <f t="shared" si="8"/>
        <v>0</v>
      </c>
      <c r="Q61" s="740">
        <f t="shared" si="8"/>
        <v>0</v>
      </c>
      <c r="R61" s="740">
        <f ca="1">R46+R52+R56</f>
        <v>75784.371949668013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0.21650601768866223</v>
      </c>
      <c r="D63" s="781">
        <f t="shared" ca="1" si="9"/>
        <v>0</v>
      </c>
      <c r="E63" s="1024">
        <f t="shared" ca="1" si="9"/>
        <v>0.20199999999999993</v>
      </c>
      <c r="F63" s="781">
        <f t="shared" si="9"/>
        <v>0.22700000000000004</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1668.9842833088669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1668.9842833088669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1668.9842833088669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1668.9842833088669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27073.82701478829</v>
      </c>
      <c r="C4" s="477">
        <f>huishoudens!C8</f>
        <v>0</v>
      </c>
      <c r="D4" s="477">
        <f>huishoudens!D8</f>
        <v>47031.056815863973</v>
      </c>
      <c r="E4" s="477">
        <f>huishoudens!E8</f>
        <v>1115.0944489082376</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3800.1813471729693</v>
      </c>
      <c r="O4" s="477">
        <f>huishoudens!O8</f>
        <v>120.37666666666668</v>
      </c>
      <c r="P4" s="478">
        <f>huishoudens!P8</f>
        <v>1067.7333333333333</v>
      </c>
      <c r="Q4" s="479">
        <f>SUM(B4:P4)</f>
        <v>80208.269626733469</v>
      </c>
    </row>
    <row r="5" spans="1:17">
      <c r="A5" s="476" t="s">
        <v>156</v>
      </c>
      <c r="B5" s="477">
        <f ca="1">tertiair!B16</f>
        <v>35959.281407883187</v>
      </c>
      <c r="C5" s="477">
        <f ca="1">tertiair!C16</f>
        <v>0</v>
      </c>
      <c r="D5" s="477">
        <f ca="1">tertiair!D16</f>
        <v>41991.050498904879</v>
      </c>
      <c r="E5" s="477">
        <f>tertiair!E16</f>
        <v>495.88214192955195</v>
      </c>
      <c r="F5" s="477">
        <f ca="1">tertiair!F16</f>
        <v>6073.1494775571882</v>
      </c>
      <c r="G5" s="477">
        <f>tertiair!G16</f>
        <v>0</v>
      </c>
      <c r="H5" s="477">
        <f>tertiair!H16</f>
        <v>0</v>
      </c>
      <c r="I5" s="477">
        <f>tertiair!I16</f>
        <v>0</v>
      </c>
      <c r="J5" s="477">
        <f>tertiair!J16</f>
        <v>7.5796307010755168E-2</v>
      </c>
      <c r="K5" s="477">
        <f>tertiair!K16</f>
        <v>0</v>
      </c>
      <c r="L5" s="477">
        <f ca="1">tertiair!L16</f>
        <v>0</v>
      </c>
      <c r="M5" s="477">
        <f>tertiair!M16</f>
        <v>0</v>
      </c>
      <c r="N5" s="477">
        <f ca="1">tertiair!N16</f>
        <v>3027.1734446889018</v>
      </c>
      <c r="O5" s="477">
        <f>tertiair!O16</f>
        <v>7.8166666666666664</v>
      </c>
      <c r="P5" s="478">
        <f>tertiair!P16</f>
        <v>19.066666666666666</v>
      </c>
      <c r="Q5" s="476">
        <f t="shared" ref="Q5:Q14" ca="1" si="0">SUM(B5:P5)</f>
        <v>87573.496100604054</v>
      </c>
    </row>
    <row r="6" spans="1:17">
      <c r="A6" s="476" t="s">
        <v>194</v>
      </c>
      <c r="B6" s="477">
        <f>'openbare verlichting'!B8</f>
        <v>1041.7080000000001</v>
      </c>
      <c r="C6" s="477"/>
      <c r="D6" s="477"/>
      <c r="E6" s="477"/>
      <c r="F6" s="477"/>
      <c r="G6" s="477"/>
      <c r="H6" s="477"/>
      <c r="I6" s="477"/>
      <c r="J6" s="477"/>
      <c r="K6" s="477"/>
      <c r="L6" s="477"/>
      <c r="M6" s="477"/>
      <c r="N6" s="477"/>
      <c r="O6" s="477"/>
      <c r="P6" s="478"/>
      <c r="Q6" s="476">
        <f t="shared" si="0"/>
        <v>1041.7080000000001</v>
      </c>
    </row>
    <row r="7" spans="1:17">
      <c r="A7" s="476" t="s">
        <v>112</v>
      </c>
      <c r="B7" s="477">
        <f>landbouw!B8</f>
        <v>1202.5814994980203</v>
      </c>
      <c r="C7" s="477">
        <f>landbouw!C8</f>
        <v>0</v>
      </c>
      <c r="D7" s="477">
        <f>landbouw!D8</f>
        <v>159.20014068686174</v>
      </c>
      <c r="E7" s="477">
        <f>landbouw!E8</f>
        <v>35.347543378101889</v>
      </c>
      <c r="F7" s="477">
        <f>landbouw!F8</f>
        <v>5009.8895428153828</v>
      </c>
      <c r="G7" s="477">
        <f>landbouw!G8</f>
        <v>0</v>
      </c>
      <c r="H7" s="477">
        <f>landbouw!H8</f>
        <v>0</v>
      </c>
      <c r="I7" s="477">
        <f>landbouw!I8</f>
        <v>0</v>
      </c>
      <c r="J7" s="477">
        <f>landbouw!J8</f>
        <v>174.22823354393716</v>
      </c>
      <c r="K7" s="477">
        <f>landbouw!K8</f>
        <v>0</v>
      </c>
      <c r="L7" s="477">
        <f>landbouw!L8</f>
        <v>0</v>
      </c>
      <c r="M7" s="477">
        <f>landbouw!M8</f>
        <v>0</v>
      </c>
      <c r="N7" s="477">
        <f>landbouw!N8</f>
        <v>0</v>
      </c>
      <c r="O7" s="477">
        <f>landbouw!O8</f>
        <v>0</v>
      </c>
      <c r="P7" s="478">
        <f>landbouw!P8</f>
        <v>0</v>
      </c>
      <c r="Q7" s="476">
        <f t="shared" si="0"/>
        <v>6581.2469599223032</v>
      </c>
    </row>
    <row r="8" spans="1:17">
      <c r="A8" s="476" t="s">
        <v>635</v>
      </c>
      <c r="B8" s="477">
        <f>industrie!B18</f>
        <v>5639.2965509758087</v>
      </c>
      <c r="C8" s="477">
        <f>industrie!C18</f>
        <v>0</v>
      </c>
      <c r="D8" s="477">
        <f>industrie!D18</f>
        <v>4414.8197841974434</v>
      </c>
      <c r="E8" s="477">
        <f>industrie!E18</f>
        <v>789.91148841824645</v>
      </c>
      <c r="F8" s="477">
        <f>industrie!F18</f>
        <v>2342.6032435139859</v>
      </c>
      <c r="G8" s="477">
        <f>industrie!G18</f>
        <v>0</v>
      </c>
      <c r="H8" s="477">
        <f>industrie!H18</f>
        <v>0</v>
      </c>
      <c r="I8" s="477">
        <f>industrie!I18</f>
        <v>0</v>
      </c>
      <c r="J8" s="477">
        <f>industrie!J18</f>
        <v>9.438787216482071</v>
      </c>
      <c r="K8" s="477">
        <f>industrie!K18</f>
        <v>0</v>
      </c>
      <c r="L8" s="477">
        <f>industrie!L18</f>
        <v>0</v>
      </c>
      <c r="M8" s="477">
        <f>industrie!M18</f>
        <v>0</v>
      </c>
      <c r="N8" s="477">
        <f>industrie!N18</f>
        <v>1359.8518883908005</v>
      </c>
      <c r="O8" s="477">
        <f>industrie!O18</f>
        <v>0</v>
      </c>
      <c r="P8" s="478">
        <f>industrie!P18</f>
        <v>0</v>
      </c>
      <c r="Q8" s="476">
        <f t="shared" si="0"/>
        <v>14555.921742712768</v>
      </c>
    </row>
    <row r="9" spans="1:17" s="482" customFormat="1">
      <c r="A9" s="480" t="s">
        <v>561</v>
      </c>
      <c r="B9" s="481">
        <f>transport!B14</f>
        <v>43.86901089983666</v>
      </c>
      <c r="C9" s="481">
        <f>transport!C14</f>
        <v>0</v>
      </c>
      <c r="D9" s="481">
        <f>transport!D14</f>
        <v>139.12616757258337</v>
      </c>
      <c r="E9" s="481">
        <f>transport!E14</f>
        <v>211.48377531857906</v>
      </c>
      <c r="F9" s="481">
        <f>transport!F14</f>
        <v>0</v>
      </c>
      <c r="G9" s="481">
        <f>transport!G14</f>
        <v>107852.0272124904</v>
      </c>
      <c r="H9" s="481">
        <f>transport!H14</f>
        <v>16126.494328805855</v>
      </c>
      <c r="I9" s="481">
        <f>transport!I14</f>
        <v>0</v>
      </c>
      <c r="J9" s="481">
        <f>transport!J14</f>
        <v>0</v>
      </c>
      <c r="K9" s="481">
        <f>transport!K14</f>
        <v>0</v>
      </c>
      <c r="L9" s="481">
        <f>transport!L14</f>
        <v>0</v>
      </c>
      <c r="M9" s="481">
        <f>transport!M14</f>
        <v>6777.1111399046049</v>
      </c>
      <c r="N9" s="481">
        <f>transport!N14</f>
        <v>0</v>
      </c>
      <c r="O9" s="481">
        <f>transport!O14</f>
        <v>0</v>
      </c>
      <c r="P9" s="481">
        <f>transport!P14</f>
        <v>0</v>
      </c>
      <c r="Q9" s="480">
        <f>SUM(B9:P9)</f>
        <v>131150.11163499186</v>
      </c>
    </row>
    <row r="10" spans="1:17">
      <c r="A10" s="476" t="s">
        <v>551</v>
      </c>
      <c r="B10" s="477">
        <f>transport!B54</f>
        <v>826.70062499999983</v>
      </c>
      <c r="C10" s="477">
        <f>transport!C54</f>
        <v>0</v>
      </c>
      <c r="D10" s="477">
        <f>transport!D54</f>
        <v>0</v>
      </c>
      <c r="E10" s="477">
        <f>transport!E54</f>
        <v>0</v>
      </c>
      <c r="F10" s="477">
        <f>transport!F54</f>
        <v>0</v>
      </c>
      <c r="G10" s="477">
        <f>transport!G54</f>
        <v>645.29550227626612</v>
      </c>
      <c r="H10" s="477">
        <f>transport!H54</f>
        <v>0</v>
      </c>
      <c r="I10" s="477">
        <f>transport!I54</f>
        <v>0</v>
      </c>
      <c r="J10" s="477">
        <f>transport!J54</f>
        <v>0</v>
      </c>
      <c r="K10" s="477">
        <f>transport!K54</f>
        <v>0</v>
      </c>
      <c r="L10" s="477">
        <f>transport!L54</f>
        <v>0</v>
      </c>
      <c r="M10" s="477">
        <f>transport!M54</f>
        <v>36.649935823006501</v>
      </c>
      <c r="N10" s="477">
        <f>transport!N54</f>
        <v>0</v>
      </c>
      <c r="O10" s="477">
        <f>transport!O54</f>
        <v>0</v>
      </c>
      <c r="P10" s="478">
        <f>transport!P54</f>
        <v>0</v>
      </c>
      <c r="Q10" s="476">
        <f t="shared" si="0"/>
        <v>1508.6460630992724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10288.164999943901</v>
      </c>
      <c r="C14" s="484"/>
      <c r="D14" s="484">
        <f>'SEAP template'!E25</f>
        <v>9133.7646395192114</v>
      </c>
      <c r="E14" s="484"/>
      <c r="F14" s="484"/>
      <c r="G14" s="484"/>
      <c r="H14" s="484"/>
      <c r="I14" s="484"/>
      <c r="J14" s="484"/>
      <c r="K14" s="484"/>
      <c r="L14" s="484"/>
      <c r="M14" s="484"/>
      <c r="N14" s="484"/>
      <c r="O14" s="484"/>
      <c r="P14" s="485"/>
      <c r="Q14" s="476">
        <f t="shared" si="0"/>
        <v>19421.929639463113</v>
      </c>
    </row>
    <row r="15" spans="1:17" s="486" customFormat="1">
      <c r="A15" s="1039" t="s">
        <v>555</v>
      </c>
      <c r="B15" s="987">
        <f ca="1">SUM(B4:B14)</f>
        <v>82075.429108989032</v>
      </c>
      <c r="C15" s="987">
        <f t="shared" ref="C15:Q15" ca="1" si="1">SUM(C4:C14)</f>
        <v>0</v>
      </c>
      <c r="D15" s="987">
        <f t="shared" ca="1" si="1"/>
        <v>102869.01804674497</v>
      </c>
      <c r="E15" s="987">
        <f t="shared" si="1"/>
        <v>2647.7193979527165</v>
      </c>
      <c r="F15" s="987">
        <f t="shared" ca="1" si="1"/>
        <v>13425.642263886557</v>
      </c>
      <c r="G15" s="987">
        <f t="shared" si="1"/>
        <v>108497.32271476666</v>
      </c>
      <c r="H15" s="987">
        <f t="shared" si="1"/>
        <v>16126.494328805855</v>
      </c>
      <c r="I15" s="987">
        <f t="shared" si="1"/>
        <v>0</v>
      </c>
      <c r="J15" s="987">
        <f t="shared" si="1"/>
        <v>183.74281706743</v>
      </c>
      <c r="K15" s="987">
        <f t="shared" si="1"/>
        <v>0</v>
      </c>
      <c r="L15" s="987">
        <f t="shared" ca="1" si="1"/>
        <v>0</v>
      </c>
      <c r="M15" s="987">
        <f t="shared" si="1"/>
        <v>6813.7610757276116</v>
      </c>
      <c r="N15" s="987">
        <f t="shared" ca="1" si="1"/>
        <v>8187.2066802526715</v>
      </c>
      <c r="O15" s="987">
        <f t="shared" si="1"/>
        <v>128.19333333333336</v>
      </c>
      <c r="P15" s="987">
        <f t="shared" si="1"/>
        <v>1086.8</v>
      </c>
      <c r="Q15" s="987">
        <f t="shared" ca="1" si="1"/>
        <v>342041.32976752688</v>
      </c>
    </row>
    <row r="17" spans="1:17">
      <c r="A17" s="487" t="s">
        <v>556</v>
      </c>
      <c r="B17" s="786">
        <f ca="1">huishoudens!B10</f>
        <v>0.21650601768866221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5861.6464705635344</v>
      </c>
      <c r="C22" s="477">
        <f t="shared" ref="C22:C32" ca="1" si="3">C4*$C$17</f>
        <v>0</v>
      </c>
      <c r="D22" s="477">
        <f t="shared" ref="D22:D32" si="4">D4*$D$17</f>
        <v>9500.2734768045229</v>
      </c>
      <c r="E22" s="477">
        <f t="shared" ref="E22:E32" si="5">E4*$E$17</f>
        <v>253.12643990216995</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15615.046387270226</v>
      </c>
    </row>
    <row r="23" spans="1:17">
      <c r="A23" s="476" t="s">
        <v>156</v>
      </c>
      <c r="B23" s="477">
        <f t="shared" ca="1" si="2"/>
        <v>7785.4008165667392</v>
      </c>
      <c r="C23" s="477">
        <f t="shared" ca="1" si="3"/>
        <v>0</v>
      </c>
      <c r="D23" s="477">
        <f t="shared" ca="1" si="4"/>
        <v>8482.1922007787853</v>
      </c>
      <c r="E23" s="477">
        <f t="shared" si="5"/>
        <v>112.5652462180083</v>
      </c>
      <c r="F23" s="477">
        <f t="shared" ca="1" si="6"/>
        <v>1621.5309105077692</v>
      </c>
      <c r="G23" s="477">
        <f t="shared" si="7"/>
        <v>0</v>
      </c>
      <c r="H23" s="477">
        <f t="shared" si="8"/>
        <v>0</v>
      </c>
      <c r="I23" s="477">
        <f t="shared" si="9"/>
        <v>0</v>
      </c>
      <c r="J23" s="477">
        <f t="shared" si="10"/>
        <v>2.6831892681807329E-2</v>
      </c>
      <c r="K23" s="477">
        <f t="shared" si="11"/>
        <v>0</v>
      </c>
      <c r="L23" s="477">
        <f t="shared" ca="1" si="12"/>
        <v>0</v>
      </c>
      <c r="M23" s="477">
        <f t="shared" si="13"/>
        <v>0</v>
      </c>
      <c r="N23" s="477">
        <f t="shared" ca="1" si="14"/>
        <v>0</v>
      </c>
      <c r="O23" s="477">
        <f t="shared" si="15"/>
        <v>0</v>
      </c>
      <c r="P23" s="478">
        <f t="shared" si="16"/>
        <v>0</v>
      </c>
      <c r="Q23" s="476">
        <f t="shared" ref="Q23:Q32" ca="1" si="17">SUM(B23:P23)</f>
        <v>18001.716005963983</v>
      </c>
    </row>
    <row r="24" spans="1:17">
      <c r="A24" s="476" t="s">
        <v>194</v>
      </c>
      <c r="B24" s="477">
        <f t="shared" ca="1" si="2"/>
        <v>225.53605067442095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225.53605067442095</v>
      </c>
    </row>
    <row r="25" spans="1:17">
      <c r="A25" s="476" t="s">
        <v>112</v>
      </c>
      <c r="B25" s="477">
        <f t="shared" ca="1" si="2"/>
        <v>260.36613140237631</v>
      </c>
      <c r="C25" s="477">
        <f t="shared" ca="1" si="3"/>
        <v>0</v>
      </c>
      <c r="D25" s="477">
        <f t="shared" si="4"/>
        <v>32.158428418746077</v>
      </c>
      <c r="E25" s="477">
        <f t="shared" si="5"/>
        <v>8.023892346829129</v>
      </c>
      <c r="F25" s="477">
        <f t="shared" si="6"/>
        <v>1337.6405079317074</v>
      </c>
      <c r="G25" s="477">
        <f t="shared" si="7"/>
        <v>0</v>
      </c>
      <c r="H25" s="477">
        <f t="shared" si="8"/>
        <v>0</v>
      </c>
      <c r="I25" s="477">
        <f t="shared" si="9"/>
        <v>0</v>
      </c>
      <c r="J25" s="477">
        <f t="shared" si="10"/>
        <v>61.676794674553754</v>
      </c>
      <c r="K25" s="477">
        <f t="shared" si="11"/>
        <v>0</v>
      </c>
      <c r="L25" s="477">
        <f t="shared" si="12"/>
        <v>0</v>
      </c>
      <c r="M25" s="477">
        <f t="shared" si="13"/>
        <v>0</v>
      </c>
      <c r="N25" s="477">
        <f t="shared" si="14"/>
        <v>0</v>
      </c>
      <c r="O25" s="477">
        <f t="shared" si="15"/>
        <v>0</v>
      </c>
      <c r="P25" s="478">
        <f t="shared" si="16"/>
        <v>0</v>
      </c>
      <c r="Q25" s="476">
        <f t="shared" ca="1" si="17"/>
        <v>1699.8657547742127</v>
      </c>
    </row>
    <row r="26" spans="1:17">
      <c r="A26" s="476" t="s">
        <v>635</v>
      </c>
      <c r="B26" s="477">
        <f t="shared" ca="1" si="2"/>
        <v>1220.9416388171803</v>
      </c>
      <c r="C26" s="477">
        <f t="shared" ca="1" si="3"/>
        <v>0</v>
      </c>
      <c r="D26" s="477">
        <f t="shared" si="4"/>
        <v>891.79359640788357</v>
      </c>
      <c r="E26" s="477">
        <f t="shared" si="5"/>
        <v>179.30990787094194</v>
      </c>
      <c r="F26" s="477">
        <f t="shared" si="6"/>
        <v>625.47506601823432</v>
      </c>
      <c r="G26" s="477">
        <f t="shared" si="7"/>
        <v>0</v>
      </c>
      <c r="H26" s="477">
        <f t="shared" si="8"/>
        <v>0</v>
      </c>
      <c r="I26" s="477">
        <f t="shared" si="9"/>
        <v>0</v>
      </c>
      <c r="J26" s="477">
        <f t="shared" si="10"/>
        <v>3.3413306746346532</v>
      </c>
      <c r="K26" s="477">
        <f t="shared" si="11"/>
        <v>0</v>
      </c>
      <c r="L26" s="477">
        <f t="shared" si="12"/>
        <v>0</v>
      </c>
      <c r="M26" s="477">
        <f t="shared" si="13"/>
        <v>0</v>
      </c>
      <c r="N26" s="477">
        <f t="shared" si="14"/>
        <v>0</v>
      </c>
      <c r="O26" s="477">
        <f t="shared" si="15"/>
        <v>0</v>
      </c>
      <c r="P26" s="478">
        <f t="shared" si="16"/>
        <v>0</v>
      </c>
      <c r="Q26" s="476">
        <f t="shared" ca="1" si="17"/>
        <v>2920.8615397888748</v>
      </c>
    </row>
    <row r="27" spans="1:17" s="482" customFormat="1">
      <c r="A27" s="480" t="s">
        <v>561</v>
      </c>
      <c r="B27" s="780">
        <f t="shared" ca="1" si="2"/>
        <v>9.4979048498641507</v>
      </c>
      <c r="C27" s="481">
        <f t="shared" ca="1" si="3"/>
        <v>0</v>
      </c>
      <c r="D27" s="481">
        <f t="shared" si="4"/>
        <v>28.103485849661844</v>
      </c>
      <c r="E27" s="481">
        <f t="shared" si="5"/>
        <v>48.006816997317451</v>
      </c>
      <c r="F27" s="481">
        <f t="shared" si="6"/>
        <v>0</v>
      </c>
      <c r="G27" s="481">
        <f t="shared" si="7"/>
        <v>28796.491265734938</v>
      </c>
      <c r="H27" s="481">
        <f t="shared" si="8"/>
        <v>4015.4970878726576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32897.596561304439</v>
      </c>
    </row>
    <row r="28" spans="1:17">
      <c r="A28" s="476" t="s">
        <v>551</v>
      </c>
      <c r="B28" s="477">
        <f t="shared" ca="1" si="2"/>
        <v>178.98566013947806</v>
      </c>
      <c r="C28" s="477">
        <f t="shared" ca="1" si="3"/>
        <v>0</v>
      </c>
      <c r="D28" s="477">
        <f t="shared" si="4"/>
        <v>0</v>
      </c>
      <c r="E28" s="477">
        <f t="shared" si="5"/>
        <v>0</v>
      </c>
      <c r="F28" s="477">
        <f t="shared" si="6"/>
        <v>0</v>
      </c>
      <c r="G28" s="477">
        <f t="shared" si="7"/>
        <v>172.29389910776305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351.27955924724108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2227.4496334617297</v>
      </c>
      <c r="C32" s="477">
        <f t="shared" ca="1" si="3"/>
        <v>0</v>
      </c>
      <c r="D32" s="477">
        <f t="shared" si="4"/>
        <v>1845.0204571828808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4072.4700906446105</v>
      </c>
    </row>
    <row r="33" spans="1:17" s="486" customFormat="1">
      <c r="A33" s="1039" t="s">
        <v>555</v>
      </c>
      <c r="B33" s="987">
        <f ca="1">SUM(B22:B32)</f>
        <v>17769.824306475322</v>
      </c>
      <c r="C33" s="987">
        <f t="shared" ref="C33:Q33" ca="1" si="18">SUM(C22:C32)</f>
        <v>0</v>
      </c>
      <c r="D33" s="987">
        <f t="shared" ca="1" si="18"/>
        <v>20779.541645442474</v>
      </c>
      <c r="E33" s="987">
        <f t="shared" si="18"/>
        <v>601.03230333526676</v>
      </c>
      <c r="F33" s="987">
        <f t="shared" ca="1" si="18"/>
        <v>3584.6464844577113</v>
      </c>
      <c r="G33" s="987">
        <f t="shared" si="18"/>
        <v>28968.785164842702</v>
      </c>
      <c r="H33" s="987">
        <f t="shared" si="18"/>
        <v>4015.4970878726576</v>
      </c>
      <c r="I33" s="987">
        <f t="shared" si="18"/>
        <v>0</v>
      </c>
      <c r="J33" s="987">
        <f t="shared" si="18"/>
        <v>65.044957241870208</v>
      </c>
      <c r="K33" s="987">
        <f t="shared" si="18"/>
        <v>0</v>
      </c>
      <c r="L33" s="987">
        <f t="shared" ca="1" si="18"/>
        <v>0</v>
      </c>
      <c r="M33" s="987">
        <f t="shared" si="18"/>
        <v>0</v>
      </c>
      <c r="N33" s="987">
        <f t="shared" ca="1" si="18"/>
        <v>0</v>
      </c>
      <c r="O33" s="987">
        <f t="shared" si="18"/>
        <v>0</v>
      </c>
      <c r="P33" s="987">
        <f t="shared" si="18"/>
        <v>0</v>
      </c>
      <c r="Q33" s="987">
        <f t="shared" ca="1" si="18"/>
        <v>75784.371949667999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1668.9842833088669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1668.9842833088669</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0.21650601768866221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0.21650601768866221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2019-08-12T08:34:04Z</dcterms:modified>
</cp:coreProperties>
</file>