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31"/>
  <c r="I27"/>
  <c r="I29"/>
  <c r="I24"/>
  <c r="I28"/>
  <c r="I30"/>
  <c r="I22"/>
  <c r="I32"/>
  <c r="I26"/>
  <c r="D4"/>
  <c r="D22" s="1"/>
  <c r="E11" i="14"/>
  <c r="H29" i="48"/>
  <c r="H32"/>
  <c r="H24"/>
  <c r="H25"/>
  <c r="H22"/>
  <c r="H28"/>
  <c r="H26"/>
  <c r="H30"/>
  <c r="H23"/>
  <c r="C4"/>
  <c r="D11" i="14"/>
  <c r="G23" i="48"/>
  <c r="G30"/>
  <c r="G32"/>
  <c r="G26"/>
  <c r="G29"/>
  <c r="G22"/>
  <c r="G24"/>
  <c r="G25"/>
  <c r="B4"/>
  <c r="C11" i="14"/>
  <c r="F30" i="48"/>
  <c r="F32"/>
  <c r="F24"/>
  <c r="F31"/>
  <c r="F27"/>
  <c r="F28"/>
  <c r="F29"/>
  <c r="N24"/>
  <c r="N31"/>
  <c r="N30"/>
  <c r="N32"/>
  <c r="N28"/>
  <c r="N27"/>
  <c r="N29"/>
  <c r="B10"/>
  <c r="C19" i="14"/>
  <c r="E31" i="48"/>
  <c r="E29"/>
  <c r="E30"/>
  <c r="E28"/>
  <c r="E32"/>
  <c r="E24"/>
  <c r="M29"/>
  <c r="M32"/>
  <c r="M25"/>
  <c r="M22"/>
  <c r="M26"/>
  <c r="M24"/>
  <c r="M30"/>
  <c r="M23"/>
  <c r="L10" i="14"/>
  <c r="L16" s="1"/>
  <c r="L27" s="1"/>
  <c r="K5" i="48"/>
  <c r="D30"/>
  <c r="D28"/>
  <c r="D24"/>
  <c r="D29"/>
  <c r="D31"/>
  <c r="D32"/>
  <c r="L29"/>
  <c r="L32"/>
  <c r="L22"/>
  <c r="L31"/>
  <c r="L30"/>
  <c r="L27"/>
  <c r="L28"/>
  <c r="L24"/>
  <c r="Q10" i="14"/>
  <c r="P5" i="48"/>
  <c r="P23" s="1"/>
  <c r="K32"/>
  <c r="K24"/>
  <c r="K22"/>
  <c r="K30"/>
  <c r="K27"/>
  <c r="K31"/>
  <c r="K25"/>
  <c r="K26"/>
  <c r="K28"/>
  <c r="K29"/>
  <c r="B7"/>
  <c r="C24" i="14"/>
  <c r="C26" s="1"/>
  <c r="J29" i="48"/>
  <c r="J30"/>
  <c r="J32"/>
  <c r="J24"/>
  <c r="J31"/>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15"/>
  <c r="E9"/>
  <c r="E27" s="1"/>
  <c r="F20" i="14"/>
  <c r="F22" s="1"/>
  <c r="Q13"/>
  <c r="P8" i="48"/>
  <c r="P26" s="1"/>
  <c r="D9"/>
  <c r="D27" s="1"/>
  <c r="E20" i="14"/>
  <c r="E22" s="1"/>
  <c r="P10"/>
  <c r="O5" i="48"/>
  <c r="O23" s="1"/>
  <c r="B9"/>
  <c r="C20" i="14"/>
  <c r="C22" s="1"/>
  <c r="J7" i="48"/>
  <c r="J25" s="1"/>
  <c r="K24" i="14"/>
  <c r="K26" s="1"/>
  <c r="G11"/>
  <c r="F4" i="48"/>
  <c r="F22" s="1"/>
  <c r="I5"/>
  <c r="J10" i="14"/>
  <c r="J16" s="1"/>
  <c r="J27" s="1"/>
  <c r="J63" s="1"/>
  <c r="P22" i="48"/>
  <c r="P33" s="1"/>
  <c r="Q16" i="14"/>
  <c r="Q27" s="1"/>
  <c r="K33"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J4"/>
  <c r="K11" i="14"/>
  <c r="O11"/>
  <c r="N4" i="48"/>
  <c r="N22" s="1"/>
  <c r="N19" i="14"/>
  <c r="M10" i="48"/>
  <c r="M28" s="1"/>
  <c r="I23"/>
  <c r="I33" s="1"/>
  <c r="I15"/>
  <c r="H19" i="14"/>
  <c r="G10" i="48"/>
  <c r="E7"/>
  <c r="E25" s="1"/>
  <c r="F24" i="14"/>
  <c r="F26" s="1"/>
  <c r="P13"/>
  <c r="O8" i="48"/>
  <c r="M14" i="22"/>
  <c r="H14"/>
  <c r="I20" i="14" s="1"/>
  <c r="I22" s="1"/>
  <c r="I27" s="1"/>
  <c r="P16"/>
  <c r="P27" s="1"/>
  <c r="Q63"/>
  <c r="P15"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22" i="48"/>
  <c r="Q4"/>
  <c r="J5"/>
  <c r="J23" s="1"/>
  <c r="K10" i="14"/>
  <c r="R19"/>
  <c r="J22" i="48"/>
  <c r="F10" i="14"/>
  <c r="E5" i="48"/>
  <c r="E23" s="1"/>
  <c r="G28"/>
  <c r="Q10"/>
  <c r="O26"/>
  <c r="O33" s="1"/>
  <c r="O15"/>
  <c r="Q7"/>
  <c r="N52" i="14"/>
  <c r="N61" s="1"/>
  <c r="R11"/>
  <c r="M15" i="48"/>
  <c r="M27"/>
  <c r="M33" s="1"/>
  <c r="Q9"/>
  <c r="H15"/>
  <c r="H27"/>
  <c r="H33" s="1"/>
  <c r="N63" i="14"/>
  <c r="R24"/>
  <c r="R26" s="1"/>
  <c r="N18" i="16"/>
  <c r="E20" i="15"/>
  <c r="F40" i="14" s="1"/>
  <c r="F18" i="16"/>
  <c r="J18"/>
  <c r="E18"/>
  <c r="G18" i="22"/>
  <c r="H50" i="14" s="1"/>
  <c r="H52" s="1"/>
  <c r="H61" s="1"/>
  <c r="H18" i="22"/>
  <c r="I50" i="14" s="1"/>
  <c r="I52" s="1"/>
  <c r="I61" s="1"/>
  <c r="I63" s="1"/>
  <c r="J8" i="48" l="1"/>
  <c r="K13" i="14"/>
  <c r="K16" s="1"/>
  <c r="K27" s="1"/>
  <c r="K63" s="1"/>
  <c r="F13"/>
  <c r="F16" s="1"/>
  <c r="F27" s="1"/>
  <c r="F63" s="1"/>
  <c r="E8" i="48"/>
  <c r="G27"/>
  <c r="G33" s="1"/>
  <c r="G15"/>
  <c r="H63" i="14"/>
  <c r="R20"/>
  <c r="R22" s="1"/>
  <c r="N8" i="48"/>
  <c r="N26" s="1"/>
  <c r="O13" i="14"/>
  <c r="F8" i="48"/>
  <c r="G13" i="14"/>
  <c r="E22" i="16"/>
  <c r="F43" i="14" s="1"/>
  <c r="F46" s="1"/>
  <c r="F61" s="1"/>
  <c r="F22" i="16"/>
  <c r="G43" i="14" s="1"/>
  <c r="N22" i="16"/>
  <c r="O43" i="14" s="1"/>
  <c r="J22" i="16"/>
  <c r="K43" i="14" s="1"/>
  <c r="K46" s="1"/>
  <c r="K61" s="1"/>
  <c r="E26" i="48" l="1"/>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<sst xmlns="http://schemas.openxmlformats.org/spreadsheetml/2006/main" count="2392" uniqueCount="888">
  <si>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</si>
  <si>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</si>
  <si>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</si>
  <si>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</si>
  <si>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</si>
  <si>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</si>
  <si>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</si>
  <si>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</si>
  <si>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</si>
  <si>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</si>
  <si>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</si>
  <si>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</si>
  <si>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</si>
  <si>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</si>
  <si>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</si>
  <si>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</si>
  <si>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</si>
  <si>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</si>
  <si>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</si>
  <si>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</si>
  <si>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</si>
  <si>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</si>
  <si>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</si>
  <si>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</si>
  <si>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</si>
  <si>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</si>
  <si>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</si>
  <si>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</si>
  <si>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</si>
  <si>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</si>
  <si>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</si>
  <si>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</si>
  <si>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</si>
  <si>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</si>
  <si>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</si>
  <si>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</si>
  <si>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</si>
  <si>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</si>
  <si>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</si>
  <si>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</si>
  <si>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</si>
  <si>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</si>
  <si>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</si>
  <si>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</si>
  <si>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</si>
  <si>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</si>
  <si>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</si>
  <si>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</si>
  <si>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</si>
  <si>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</si>
  <si>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</si>
  <si>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</si>
  <si>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</si>
  <si>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</si>
  <si>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</si>
  <si>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</si>
  <si>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</si>
  <si>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</si>
  <si>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</si>
  <si>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</si>
  <si>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</si>
  <si>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</si>
  <si>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</si>
  <si>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</si>
  <si>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</si>
  <si>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</si>
  <si>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</si>
  <si>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</si>
  <si>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</si>
  <si>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</si>
  <si>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</si>
  <si>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</si>
  <si>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</si>
  <si>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</si>
  <si>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</si>
  <si>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</si>
  <si>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</si>
  <si>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</si>
  <si>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</si>
  <si>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</si>
  <si>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</si>
  <si>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</si>
  <si>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</si>
  <si>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</si>
  <si>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</si>
  <si>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</si>
  <si>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</si>
  <si>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</si>
  <si>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</si>
  <si>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</si>
  <si>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</si>
  <si>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</si>
  <si>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</si>
  <si>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</si>
  <si>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</si>
  <si>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</si>
  <si>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</si>
  <si>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</si>
  <si>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</si>
  <si>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</si>
  <si>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</si>
  <si>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</si>
  <si>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</si>
  <si>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</si>
  <si>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</si>
  <si>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</si>
  <si>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</si>
  <si>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</si>
  <si>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</si>
  <si>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</si>
  <si>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</si>
  <si>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</si>
  <si>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</si>
  <si>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</si>
  <si>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</si>
  <si>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</si>
  <si>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</si>
  <si>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</si>
  <si>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</si>
  <si>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</si>
  <si>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</si>
  <si>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</si>
  <si>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</si>
  <si>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</si>
  <si>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</si>
  <si>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</si>
  <si>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</si>
  <si>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</si>
  <si>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</si>
  <si>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</si>
  <si>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</si>
  <si>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</si>
  <si>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</si>
  <si>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</si>
  <si>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</si>
  <si>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</si>
  <si>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</si>
  <si>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</si>
  <si>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</si>
  <si>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</si>
  <si>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</si>
  <si>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</si>
  <si>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</si>
  <si>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</si>
  <si>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</si>
  <si>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</si>
  <si>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</si>
  <si>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</si>
  <si>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</si>
  <si>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</si>
  <si>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</si>
  <si>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</si>
  <si>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</si>
  <si>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</si>
  <si>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</si>
  <si>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</si>
  <si>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</si>
  <si>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</si>
  <si>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</si>
  <si>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</si>
  <si>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</si>
  <si>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</si>
  <si>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</si>
  <si>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</si>
  <si>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</si>
  <si>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</si>
  <si>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</si>
  <si>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</si>
  <si>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</si>
  <si>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</si>
  <si>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</si>
  <si>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</si>
  <si>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</si>
  <si>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</si>
  <si>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</si>
  <si>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</si>
  <si>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</si>
  <si>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</si>
  <si>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</si>
  <si>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</si>
  <si>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</si>
  <si>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</si>
  <si>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</si>
  <si>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</si>
  <si>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</si>
  <si>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</si>
  <si>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</si>
  <si>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</si>
  <si>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</si>
  <si>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</si>
  <si>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</si>
  <si>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</si>
  <si>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</si>
  <si>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</si>
  <si>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</si>
  <si>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</si>
  <si>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</si>
  <si>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</si>
  <si>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</si>
  <si>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</si>
  <si>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</si>
  <si>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</si>
  <si>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</si>
  <si>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</si>
  <si>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</si>
  <si>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</si>
  <si>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</si>
  <si>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</si>
  <si>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</si>
  <si>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</si>
  <si>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</si>
  <si>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</si>
  <si>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</si>
  <si>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</si>
  <si>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</si>
  <si>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</si>
  <si>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</si>
  <si>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</si>
  <si>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</si>
  <si>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</si>
  <si>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</si>
  <si>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</si>
  <si>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</si>
  <si>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</si>
  <si>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</si>
  <si>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</si>
  <si>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</si>
  <si>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</si>
  <si>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</si>
  <si>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</si>
  <si>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</si>
  <si>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</si>
  <si>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</si>
  <si>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</si>
  <si>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</si>
  <si>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</si>
  <si>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</si>
  <si>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</si>
  <si>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</si>
  <si>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</si>
  <si>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</si>
  <si>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</si>
  <si>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</si>
  <si>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</si>
  <si>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</si>
  <si>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</si>
  <si>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</si>
  <si>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</si>
  <si>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</si>
  <si>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</si>
  <si>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</si>
  <si>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</si>
  <si>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</si>
  <si>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</si>
  <si>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</si>
  <si>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</si>
  <si>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</si>
  <si>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</si>
  <si>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</si>
  <si>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</si>
  <si>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</si>
  <si>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</si>
  <si>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</si>
  <si>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</si>
  <si>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</si>
  <si>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</si>
  <si>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</si>
  <si>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</si>
  <si>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</si>
  <si>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</si>
  <si>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</si>
  <si>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</si>
  <si>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</si>
  <si>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</si>
  <si>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</si>
  <si>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</si>
  <si>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</si>
  <si>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</si>
  <si>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</si>
  <si>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</si>
  <si>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</si>
  <si>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</si>
  <si>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</si>
  <si>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</si>
  <si>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</si>
  <si>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</si>
  <si>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</si>
  <si>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</si>
  <si>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</si>
  <si>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</si>
  <si>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</si>
  <si>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</si>
  <si>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</si>
  <si>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</si>
  <si>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</si>
  <si>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</si>
  <si>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</si>
  <si>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</si>
  <si>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</si>
  <si>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</si>
  <si>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</si>
  <si>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</si>
  <si>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</si>
  <si>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</si>
  <si>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</si>
  <si>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</si>
  <si>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</si>
  <si>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</si>
  <si>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</si>
  <si>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</si>
  <si>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</si>
  <si>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</si>
  <si>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</si>
  <si>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</si>
  <si>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</si>
  <si>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</si>
  <si>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</si>
  <si>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</si>
  <si>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</si>
  <si>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</si>
  <si>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</si>
  <si>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</si>
  <si>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</si>
  <si>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</si>
  <si>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</si>
  <si>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</si>
  <si>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</si>
  <si>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</si>
  <si>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</si>
  <si>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</si>
  <si>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</si>
  <si>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</si>
  <si>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</si>
  <si>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</si>
  <si>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</si>
  <si>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</si>
  <si>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</si>
  <si>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</si>
  <si>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</si>
  <si>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</si>
  <si>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</si>
  <si>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</si>
  <si>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</si>
  <si>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</si>
  <si>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</si>
  <si>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</si>
  <si>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</si>
  <si>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</si>
  <si>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</si>
  <si>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</si>
  <si>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</si>
  <si>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</si>
  <si>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</si>
  <si>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</si>
  <si>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</si>
  <si>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</si>
  <si>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</si>
  <si>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</si>
  <si>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</si>
  <si>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</si>
  <si>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</si>
  <si>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</si>
  <si>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</si>
  <si>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</si>
  <si>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</si>
  <si>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</si>
  <si>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</si>
  <si>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</si>
  <si>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</si>
  <si>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</si>
  <si>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</si>
  <si>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</si>
  <si>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</si>
  <si>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</si>
  <si>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</si>
  <si>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</si>
  <si>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</si>
  <si>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</si>
  <si>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</si>
  <si>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</si>
  <si>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</si>
  <si>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</si>
  <si>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</si>
  <si>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</si>
  <si>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</si>
  <si>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</si>
  <si>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</si>
  <si>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</si>
  <si>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</si>
  <si>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</si>
  <si>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</si>
  <si>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</si>
  <si>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</si>
  <si>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</si>
  <si>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</si>
  <si>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</si>
  <si>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</si>
  <si>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</si>
  <si>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</si>
  <si>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</si>
  <si>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</si>
  <si>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</si>
  <si>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</si>
  <si>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</si>
  <si>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</si>
  <si>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</si>
  <si>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</si>
  <si>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</si>
  <si>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</si>
  <si>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</si>
  <si>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</si>
  <si>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</si>
  <si>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</si>
  <si>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</si>
  <si>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</si>
  <si>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</si>
  <si>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</si>
  <si>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</si>
  <si>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</si>
  <si>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</si>
  <si>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</si>
  <si>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</si>
  <si>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</si>
  <si>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</si>
  <si>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</si>
  <si>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</si>
  <si>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</si>
  <si>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</si>
  <si>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</si>
  <si>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</si>
  <si>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</si>
  <si>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</si>
  <si>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</si>
  <si>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</si>
  <si>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</si>
  <si>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</si>
  <si>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</si>
  <si>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</si>
  <si>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</si>
  <si>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</si>
  <si>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</si>
  <si>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</si>
  <si>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</si>
  <si>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</si>
  <si>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</si>
  <si>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</si>
  <si>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</si>
  <si>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</si>
  <si>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</si>
  <si>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</si>
  <si>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</si>
  <si>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</si>
  <si>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</si>
  <si>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</si>
  <si>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</si>
  <si>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</si>
  <si>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</si>
  <si>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</si>
  <si>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</si>
  <si>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</si>
  <si>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</si>
  <si>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</si>
  <si>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</si>
  <si>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</si>
  <si>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</si>
  <si>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</si>
  <si>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</si>
  <si>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</si>
  <si>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</si>
  <si>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</si>
  <si>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</si>
  <si>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</si>
  <si>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</si>
  <si>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</si>
  <si>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</si>
  <si>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</si>
  <si>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</si>
  <si>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</si>
  <si>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</si>
  <si>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</si>
  <si>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</si>
  <si>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</si>
  <si>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</si>
  <si>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</si>
  <si>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</si>
  <si>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</si>
  <si>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</si>
  <si>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</si>
  <si>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</si>
  <si>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</si>
  <si>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</si>
  <si>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</si>
  <si>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</si>
  <si>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</si>
  <si>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</si>
  <si>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</si>
  <si>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</si>
  <si>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</si>
  <si>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</si>
  <si>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</si>
  <si>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</si>
  <si>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</si>
  <si>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</si>
  <si>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</si>
  <si>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</si>
  <si>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</si>
  <si>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</si>
  <si>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</si>
  <si>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</si>
  <si>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</si>
  <si>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</si>
  <si>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</si>
  <si>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</si>
  <si>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</si>
  <si>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</si>
  <si>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</si>
  <si>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</si>
  <si>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</si>
  <si>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</si>
  <si>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</si>
  <si>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</si>
  <si>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</si>
  <si>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</si>
  <si>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</si>
  <si>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</si>
  <si>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</si>
  <si>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</si>
  <si>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</si>
  <si>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</si>
  <si>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</si>
  <si>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</si>
  <si>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</si>
  <si>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</si>
  <si>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</si>
  <si>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</si>
  <si>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</si>
  <si>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</si>
  <si>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</si>
  <si>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</si>
  <si>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</si>
  <si>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</si>
  <si>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</si>
  <si>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</si>
  <si>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</si>
  <si>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</si>
  <si>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</si>
  <si>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</si>
  <si>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</si>
  <si>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</si>
  <si>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</si>
  <si>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</si>
  <si>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</si>
  <si>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</si>
  <si>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</si>
  <si>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</si>
  <si>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</si>
  <si>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</si>
  <si>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</si>
  <si>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</si>
  <si>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</si>
  <si>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</si>
  <si>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</si>
  <si>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</si>
  <si>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</si>
  <si>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</si>
  <si>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</si>
  <si>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</si>
  <si>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</si>
  <si>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</si>
  <si>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</si>
  <si>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</si>
  <si>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</si>
  <si>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</si>
  <si>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</si>
  <si>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</si>
  <si>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</si>
  <si>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</si>
  <si>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</si>
  <si>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</si>
  <si>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</si>
  <si>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</si>
  <si>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</si>
  <si>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</si>
  <si>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</si>
  <si>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</si>
  <si>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</si>
  <si>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</si>
  <si>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</si>
  <si>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</si>
  <si>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</si>
  <si>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</si>
  <si>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</si>
  <si>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</si>
  <si>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</si>
  <si>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</si>
  <si>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</si>
  <si>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</si>
  <si>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</si>
  <si>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</si>
  <si>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</si>
  <si>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</si>
  <si>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</si>
  <si>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</si>
  <si>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</si>
  <si>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</si>
  <si>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</si>
  <si>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</si>
  <si>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</si>
  <si>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</si>
  <si>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</si>
  <si>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</si>
  <si>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</si>
  <si>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</si>
  <si>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</si>
  <si>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</si>
  <si>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</si>
  <si>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</si>
  <si>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</si>
  <si>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</si>
  <si>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</si>
  <si>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</si>
  <si>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</si>
  <si>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</si>
  <si>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</si>
  <si>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</si>
  <si>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</si>
  <si>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</si>
  <si>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</si>
  <si>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</si>
  <si>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</si>
  <si>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</si>
  <si>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</si>
  <si>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</si>
  <si>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</si>
  <si>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</si>
  <si>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</si>
  <si>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</si>
  <si>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</si>
  <si>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</si>
  <si>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</si>
  <si>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</si>
  <si>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</si>
  <si>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</si>
  <si>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</si>
  <si>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</si>
  <si>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</si>
  <si>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</si>
  <si>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</si>
  <si>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</si>
  <si>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</si>
  <si>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</si>
  <si>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</si>
  <si>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</si>
  <si>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</si>
  <si>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</si>
  <si>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</si>
  <si>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</si>
  <si>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</si>
  <si>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</si>
  <si>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</si>
  <si>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</si>
  <si>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</si>
  <si>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</si>
  <si>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</si>
  <si>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</si>
  <si>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</si>
  <si>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</si>
  <si>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</si>
  <si>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</si>
  <si>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</si>
  <si>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</si>
  <si>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</si>
  <si>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</si>
  <si>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</si>
  <si>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</si>
  <si>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</si>
  <si>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</si>
  <si>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</si>
  <si>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</si>
  <si>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</si>
  <si>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</si>
  <si>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</si>
  <si>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</si>
  <si>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</si>
  <si>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</si>
  <si>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</si>
  <si>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</si>
  <si>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</si>
  <si>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</si>
  <si>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</si>
  <si>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</si>
  <si>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</si>
  <si>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</si>
  <si>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</si>
  <si>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</si>
  <si>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</si>
  <si>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</si>
  <si>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</si>
  <si>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</si>
  <si>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</si>
  <si>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</si>
  <si>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</si>
  <si>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</si>
  <si>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</si>
  <si>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</si>
  <si>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</si>
  <si>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</si>
  <si>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</si>
  <si>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</si>
  <si>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</si>
  <si>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</si>
  <si>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</si>
  <si>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</si>
  <si>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</si>
  <si>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</si>
  <si>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</si>
  <si>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</si>
  <si>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</si>
  <si>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</si>
  <si>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</si>
  <si>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</si>
  <si>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</si>
  <si>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</si>
  <si>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</si>
  <si>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</si>
  <si>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</si>
  <si>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</si>
  <si>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</si>
  <si>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</si>
  <si>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</si>
  <si>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</si>
  <si>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</si>
  <si>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</si>
  <si>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</si>
  <si>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</si>
  <si>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</si>
  <si>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</si>
  <si>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</si>
  <si>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</si>
  <si>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</si>
  <si>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</si>
  <si>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</si>
  <si>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</si>
  <si>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</si>
  <si>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</si>
  <si>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</si>
  <si>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</si>
  <si>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</si>
  <si>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</si>
  <si>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</si>
  <si>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</si>
  <si>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</si>
  <si>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</si>
  <si>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</si>
  <si>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</si>
  <si>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</si>
  <si>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</si>
  <si>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</si>
  <si>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</si>
  <si>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</si>
  <si>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</si>
  <si>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</si>
  <si>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</si>
  <si>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</si>
  <si>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</si>
  <si>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</si>
  <si>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</si>
  <si>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</si>
  <si>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</si>
  <si>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</si>
  <si>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</si>
  <si>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</si>
  <si>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</si>
  <si>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</si>
  <si>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</si>
  <si>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</si>
  <si>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</si>
  <si>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</si>
  <si>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</si>
  <si>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</si>
  <si>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</si>
  <si>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</si>
  <si>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</si>
  <si>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</si>
  <si>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</si>
  <si>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</si>
  <si>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</si>
  <si>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</si>
  <si>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</si>
  <si>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</si>
  <si>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</si>
  <si>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</si>
  <si>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</si>
  <si>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</si>
  <si>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</si>
  <si>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</si>
  <si>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</si>
  <si>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</si>
  <si>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</si>
  <si>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</si>
  <si>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</si>
  <si>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</si>
  <si>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</si>
  <si>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</si>
  <si>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</si>
  <si>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</si>
  <si>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</si>
  <si>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</si>
  <si>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</si>
  <si>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</si>
  <si>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</si>
  <si>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</si>
  <si>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</si>
  <si>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</si>
  <si>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</si>
  <si>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</si>
  <si>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</si>
  <si>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</si>
  <si>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</si>
  <si>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</si>
  <si>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</si>
  <si>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</si>
  <si>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</si>
  <si>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</si>
  <si>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</si>
  <si>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</si>
  <si>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</si>
  <si>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</si>
  <si>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</si>
  <si>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</si>
  <si>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</si>
  <si>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</si>
  <si>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</si>
  <si>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</si>
  <si>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</si>
  <si>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</si>
  <si>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</si>
  <si>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</si>
  <si>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</si>
  <si>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</si>
  <si>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</si>
  <si>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</si>
  <si>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</si>
  <si>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</si>
  <si>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</si>
  <si>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</si>
  <si>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</si>
  <si>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</si>
  <si>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</si>
  <si>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</si>
  <si>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</si>
  <si>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</si>
  <si>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</si>
  <si>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</si>
  <si>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</si>
  <si>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</si>
  <si>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</si>
  <si>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</si>
  <si>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</si>
  <si>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</si>
  <si>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</si>
  <si>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</si>
  <si>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</si>
  <si>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</si>
  <si>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</si>
  <si>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</si>
  <si>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</si>
  <si>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</si>
  <si>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</si>
  <si>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</si>
  <si>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</si>
  <si>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</si>
  <si>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</si>
  <si>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37012</t>
  </si>
  <si>
    <t>RUISELEDE</t>
  </si>
  <si>
    <t>Eandis (januari 2018); Infrax (juni 2018)</t>
  </si>
  <si>
    <t>MOW (september 2017)</t>
  </si>
  <si>
    <t>referentietaak LNE (2017); Jaarverslag De Lijn (2016)</t>
  </si>
  <si>
    <t>VEA (april 2018)</t>
  </si>
  <si>
    <t>VEA (januari 2017)</t>
  </si>
  <si>
    <t>VEA (juni 2018)</t>
  </si>
  <si>
    <t>Biolectric nv</t>
  </si>
  <si>
    <t>Jan de Malschelaan 4 B, 9140 Temse</t>
  </si>
  <si>
    <t>WKK-0511 Kris Muys</t>
  </si>
  <si>
    <t>interne verbrandingsmotor</t>
  </si>
  <si>
    <t>WKK interne verbrandinsgmotor (gas)</t>
  </si>
  <si>
    <t>Vossenholstraat 18 , 8755 Ruiselede</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</si>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</sst>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47992.827994579347</c:v>
                </c:pt>
                <c:pt idx="1">
                  <c:v>12618.798659788112</c:v>
                </c:pt>
                <c:pt idx="2">
                  <c:v>343.61099999999999</c:v>
                </c:pt>
                <c:pt idx="3">
                  <c:v>39179.4697893622</c:v>
                </c:pt>
                <c:pt idx="4">
                  <c:v>26637.455175743878</c:v>
                </c:pt>
                <c:pt idx="5">
                  <c:v>50225.541673066429</c:v>
                </c:pt>
                <c:pt idx="6">
                  <c:v>158.18346725060144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5456640"/>
        <c:axId val="175458176"/>
      </c:barChart>
      <c:catAx>
        <c:axId val="175456640"/>
        <c:scaling>
          <c:orientation val="minMax"/>
        </c:scaling>
        <c:axPos val="b"/>
        <c:numFmt formatCode="General" sourceLinked="0"/>
        <c:tickLblPos val="nextTo"/>
        <c:crossAx val="175458176"/>
        <c:crosses val="autoZero"/>
        <c:auto val="1"/>
        <c:lblAlgn val="ctr"/>
        <c:lblOffset val="100"/>
      </c:catAx>
      <c:valAx>
        <c:axId val="175458176"/>
        <c:scaling>
          <c:orientation val="minMax"/>
        </c:scaling>
        <c:axPos val="l"/>
        <c:majorGridlines>
          <c:spPr>
            <a:ln>
              <a:noFill/>
            </a:ln>
          </c:spPr>
        </c:majorGridlines>
        <c:numFmt formatCode="#,##0" sourceLinked="1"/>
        <c:tickLblPos val="nextTo"/>
        <c:crossAx val="17545664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47992.827994579347</c:v>
                </c:pt>
                <c:pt idx="1">
                  <c:v>12618.798659788112</c:v>
                </c:pt>
                <c:pt idx="2">
                  <c:v>343.61099999999999</c:v>
                </c:pt>
                <c:pt idx="3">
                  <c:v>39179.4697893622</c:v>
                </c:pt>
                <c:pt idx="4">
                  <c:v>26637.455175743878</c:v>
                </c:pt>
                <c:pt idx="5">
                  <c:v>50225.541673066429</c:v>
                </c:pt>
                <c:pt idx="6">
                  <c:v>158.18346725060144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8908.5004512226697</c:v>
                </c:pt>
                <c:pt idx="2">
                  <c:v>2444.6510955617796</c:v>
                </c:pt>
                <c:pt idx="3">
                  <c:v>67.172748160301836</c:v>
                </c:pt>
                <c:pt idx="4">
                  <c:v>9172.8307155909097</c:v>
                </c:pt>
                <c:pt idx="5">
                  <c:v>5108.775588258145</c:v>
                </c:pt>
                <c:pt idx="6">
                  <c:v>12568.105867127626</c:v>
                </c:pt>
                <c:pt idx="7">
                  <c:v>39.965142113061283</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5680128"/>
        <c:axId val="175698304"/>
      </c:barChart>
      <c:catAx>
        <c:axId val="175680128"/>
        <c:scaling>
          <c:orientation val="minMax"/>
        </c:scaling>
        <c:axPos val="b"/>
        <c:numFmt formatCode="General" sourceLinked="0"/>
        <c:tickLblPos val="nextTo"/>
        <c:crossAx val="175698304"/>
        <c:crosses val="autoZero"/>
        <c:auto val="1"/>
        <c:lblAlgn val="ctr"/>
        <c:lblOffset val="100"/>
      </c:catAx>
      <c:valAx>
        <c:axId val="175698304"/>
        <c:scaling>
          <c:orientation val="minMax"/>
        </c:scaling>
        <c:axPos val="l"/>
        <c:majorGridlines>
          <c:spPr>
            <a:ln>
              <a:noFill/>
            </a:ln>
          </c:spPr>
        </c:majorGridlines>
        <c:numFmt formatCode="#,##0" sourceLinked="1"/>
        <c:tickLblPos val="nextTo"/>
        <c:crossAx val="17568012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8908.5004512226697</c:v>
                </c:pt>
                <c:pt idx="2">
                  <c:v>2444.6510955617796</c:v>
                </c:pt>
                <c:pt idx="3">
                  <c:v>67.172748160301836</c:v>
                </c:pt>
                <c:pt idx="4">
                  <c:v>9172.8307155909097</c:v>
                </c:pt>
                <c:pt idx="5">
                  <c:v>5108.775588258145</c:v>
                </c:pt>
                <c:pt idx="6">
                  <c:v>12568.105867127626</c:v>
                </c:pt>
                <c:pt idx="7">
                  <c:v>39.965142113061283</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37012</v>
      </c>
      <c r="B6" s="415"/>
      <c r="C6" s="416"/>
    </row>
    <row r="7" spans="1:7" s="413" customFormat="1" ht="15.75" customHeight="1">
      <c r="A7" s="417" t="str">
        <f>txtMunicipality</f>
        <v>RUISELEDE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6048.7910539894992</v>
      </c>
      <c r="D10" s="1013">
        <f ca="1">tertiair!C16</f>
        <v>0</v>
      </c>
      <c r="E10" s="1013">
        <f ca="1">tertiair!D16</f>
        <v>5135.1816982642804</v>
      </c>
      <c r="F10" s="1013">
        <f>tertiair!E16</f>
        <v>86.501753469245216</v>
      </c>
      <c r="G10" s="1013">
        <f ca="1">tertiair!F16</f>
        <v>1020.1997630789672</v>
      </c>
      <c r="H10" s="1013">
        <f>tertiair!G16</f>
        <v>0</v>
      </c>
      <c r="I10" s="1013">
        <f>tertiair!H16</f>
        <v>0</v>
      </c>
      <c r="J10" s="1013">
        <f>tertiair!I16</f>
        <v>0</v>
      </c>
      <c r="K10" s="1013">
        <f>tertiair!J16</f>
        <v>1.5897032463992919E-2</v>
      </c>
      <c r="L10" s="1013">
        <f>tertiair!K16</f>
        <v>0</v>
      </c>
      <c r="M10" s="1013">
        <f ca="1">tertiair!L16</f>
        <v>0</v>
      </c>
      <c r="N10" s="1013">
        <f>tertiair!M16</f>
        <v>0</v>
      </c>
      <c r="O10" s="1013">
        <f ca="1">tertiair!N16</f>
        <v>630.45949395365676</v>
      </c>
      <c r="P10" s="1013">
        <f>tertiair!O16</f>
        <v>3.1266666666666669</v>
      </c>
      <c r="Q10" s="1014">
        <f>tertiair!P16</f>
        <v>38.133333333333333</v>
      </c>
      <c r="R10" s="700">
        <f ca="1">SUM(C10:Q10)</f>
        <v>12962.409659788113</v>
      </c>
      <c r="S10" s="67"/>
    </row>
    <row r="11" spans="1:19" s="473" customFormat="1">
      <c r="A11" s="809" t="s">
        <v>225</v>
      </c>
      <c r="B11" s="814"/>
      <c r="C11" s="1013">
        <f>huishoudens!B8</f>
        <v>10760.100372843577</v>
      </c>
      <c r="D11" s="1013">
        <f>huishoudens!C8</f>
        <v>0</v>
      </c>
      <c r="E11" s="1013">
        <f>huishoudens!D8</f>
        <v>13940.67374583685</v>
      </c>
      <c r="F11" s="1013">
        <f>huishoudens!E8</f>
        <v>3562.5048905267986</v>
      </c>
      <c r="G11" s="1013">
        <f>huishoudens!F8</f>
        <v>9816.8382944544264</v>
      </c>
      <c r="H11" s="1013">
        <f>huishoudens!G8</f>
        <v>0</v>
      </c>
      <c r="I11" s="1013">
        <f>huishoudens!H8</f>
        <v>0</v>
      </c>
      <c r="J11" s="1013">
        <f>huishoudens!I8</f>
        <v>0</v>
      </c>
      <c r="K11" s="1013">
        <f>huishoudens!J8</f>
        <v>1579.6626481458968</v>
      </c>
      <c r="L11" s="1013">
        <f>huishoudens!K8</f>
        <v>0</v>
      </c>
      <c r="M11" s="1013">
        <f>huishoudens!L8</f>
        <v>0</v>
      </c>
      <c r="N11" s="1013">
        <f>huishoudens!M8</f>
        <v>0</v>
      </c>
      <c r="O11" s="1013">
        <f>huishoudens!N8</f>
        <v>7358.0747094384615</v>
      </c>
      <c r="P11" s="1013">
        <f>huishoudens!O8</f>
        <v>231.37333333333333</v>
      </c>
      <c r="Q11" s="1014">
        <f>huishoudens!P8</f>
        <v>743.6</v>
      </c>
      <c r="R11" s="700">
        <f>SUM(C11:Q11)</f>
        <v>47992.827994579347</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8063.600465871792</v>
      </c>
      <c r="D13" s="1013">
        <f>industrie!C18</f>
        <v>0</v>
      </c>
      <c r="E13" s="1013">
        <f>industrie!D18</f>
        <v>14163.813060765668</v>
      </c>
      <c r="F13" s="1013">
        <f>industrie!E18</f>
        <v>593.22933530315368</v>
      </c>
      <c r="G13" s="1013">
        <f>industrie!F18</f>
        <v>1976.9936045111481</v>
      </c>
      <c r="H13" s="1013">
        <f>industrie!G18</f>
        <v>0</v>
      </c>
      <c r="I13" s="1013">
        <f>industrie!H18</f>
        <v>0</v>
      </c>
      <c r="J13" s="1013">
        <f>industrie!I18</f>
        <v>0</v>
      </c>
      <c r="K13" s="1013">
        <f>industrie!J18</f>
        <v>24.876433471874151</v>
      </c>
      <c r="L13" s="1013">
        <f>industrie!K18</f>
        <v>0</v>
      </c>
      <c r="M13" s="1013">
        <f>industrie!L18</f>
        <v>0</v>
      </c>
      <c r="N13" s="1013">
        <f>industrie!M18</f>
        <v>0</v>
      </c>
      <c r="O13" s="1013">
        <f>industrie!N18</f>
        <v>1814.9422758202466</v>
      </c>
      <c r="P13" s="1013">
        <f>industrie!O18</f>
        <v>0</v>
      </c>
      <c r="Q13" s="1014">
        <f>industrie!P18</f>
        <v>0</v>
      </c>
      <c r="R13" s="700">
        <f>SUM(C13:Q13)</f>
        <v>26637.455175743878</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24872.491892704871</v>
      </c>
      <c r="D16" s="732">
        <f t="shared" ref="D16:R16" ca="1" si="0">SUM(D9:D15)</f>
        <v>0</v>
      </c>
      <c r="E16" s="732">
        <f t="shared" ca="1" si="0"/>
        <v>33239.668504866801</v>
      </c>
      <c r="F16" s="732">
        <f t="shared" si="0"/>
        <v>4242.2359792991974</v>
      </c>
      <c r="G16" s="732">
        <f t="shared" ca="1" si="0"/>
        <v>12814.031662044541</v>
      </c>
      <c r="H16" s="732">
        <f t="shared" si="0"/>
        <v>0</v>
      </c>
      <c r="I16" s="732">
        <f t="shared" si="0"/>
        <v>0</v>
      </c>
      <c r="J16" s="732">
        <f t="shared" si="0"/>
        <v>0</v>
      </c>
      <c r="K16" s="732">
        <f t="shared" si="0"/>
        <v>1604.5549786502349</v>
      </c>
      <c r="L16" s="732">
        <f t="shared" si="0"/>
        <v>0</v>
      </c>
      <c r="M16" s="732">
        <f t="shared" ca="1" si="0"/>
        <v>0</v>
      </c>
      <c r="N16" s="732">
        <f t="shared" si="0"/>
        <v>0</v>
      </c>
      <c r="O16" s="732">
        <f t="shared" ca="1" si="0"/>
        <v>9803.4764792123642</v>
      </c>
      <c r="P16" s="732">
        <f t="shared" si="0"/>
        <v>234.5</v>
      </c>
      <c r="Q16" s="732">
        <f t="shared" si="0"/>
        <v>781.73333333333335</v>
      </c>
      <c r="R16" s="732">
        <f t="shared" ca="1" si="0"/>
        <v>87592.692830111337</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149.6821801987314</v>
      </c>
      <c r="I19" s="1013">
        <f>transport!H54</f>
        <v>0</v>
      </c>
      <c r="J19" s="1013">
        <f>transport!I54</f>
        <v>0</v>
      </c>
      <c r="K19" s="1013">
        <f>transport!J54</f>
        <v>0</v>
      </c>
      <c r="L19" s="1013">
        <f>transport!K54</f>
        <v>0</v>
      </c>
      <c r="M19" s="1013">
        <f>transport!L54</f>
        <v>0</v>
      </c>
      <c r="N19" s="1013">
        <f>transport!M54</f>
        <v>8.5012870518700492</v>
      </c>
      <c r="O19" s="1013">
        <f>transport!N54</f>
        <v>0</v>
      </c>
      <c r="P19" s="1013">
        <f>transport!O54</f>
        <v>0</v>
      </c>
      <c r="Q19" s="1014">
        <f>transport!P54</f>
        <v>0</v>
      </c>
      <c r="R19" s="700">
        <f>SUM(C19:Q19)</f>
        <v>158.18346725060144</v>
      </c>
      <c r="S19" s="67"/>
    </row>
    <row r="20" spans="1:19" s="473" customFormat="1">
      <c r="A20" s="809" t="s">
        <v>307</v>
      </c>
      <c r="B20" s="814"/>
      <c r="C20" s="1013">
        <f>transport!B14</f>
        <v>19.359532056799935</v>
      </c>
      <c r="D20" s="1013">
        <f>transport!C14</f>
        <v>0</v>
      </c>
      <c r="E20" s="1013">
        <f>transport!D14</f>
        <v>78.688126254293962</v>
      </c>
      <c r="F20" s="1013">
        <f>transport!E14</f>
        <v>102.74251045035258</v>
      </c>
      <c r="G20" s="1013">
        <f>transport!F14</f>
        <v>0</v>
      </c>
      <c r="H20" s="1013">
        <f>transport!G14</f>
        <v>38701.336597588808</v>
      </c>
      <c r="I20" s="1013">
        <f>transport!H14</f>
        <v>8802.5977353537364</v>
      </c>
      <c r="J20" s="1013">
        <f>transport!I14</f>
        <v>0</v>
      </c>
      <c r="K20" s="1013">
        <f>transport!J14</f>
        <v>0</v>
      </c>
      <c r="L20" s="1013">
        <f>transport!K14</f>
        <v>0</v>
      </c>
      <c r="M20" s="1013">
        <f>transport!L14</f>
        <v>0</v>
      </c>
      <c r="N20" s="1013">
        <f>transport!M14</f>
        <v>2520.8171713624379</v>
      </c>
      <c r="O20" s="1013">
        <f>transport!N14</f>
        <v>0</v>
      </c>
      <c r="P20" s="1013">
        <f>transport!O14</f>
        <v>0</v>
      </c>
      <c r="Q20" s="1014">
        <f>transport!P14</f>
        <v>0</v>
      </c>
      <c r="R20" s="700">
        <f>SUM(C20:Q20)</f>
        <v>50225.541673066429</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19.359532056799935</v>
      </c>
      <c r="D22" s="812">
        <f t="shared" ref="D22:R22" si="1">SUM(D18:D21)</f>
        <v>0</v>
      </c>
      <c r="E22" s="812">
        <f t="shared" si="1"/>
        <v>78.688126254293962</v>
      </c>
      <c r="F22" s="812">
        <f t="shared" si="1"/>
        <v>102.74251045035258</v>
      </c>
      <c r="G22" s="812">
        <f t="shared" si="1"/>
        <v>0</v>
      </c>
      <c r="H22" s="812">
        <f t="shared" si="1"/>
        <v>38851.01877778754</v>
      </c>
      <c r="I22" s="812">
        <f t="shared" si="1"/>
        <v>8802.5977353537364</v>
      </c>
      <c r="J22" s="812">
        <f t="shared" si="1"/>
        <v>0</v>
      </c>
      <c r="K22" s="812">
        <f t="shared" si="1"/>
        <v>0</v>
      </c>
      <c r="L22" s="812">
        <f t="shared" si="1"/>
        <v>0</v>
      </c>
      <c r="M22" s="812">
        <f t="shared" si="1"/>
        <v>0</v>
      </c>
      <c r="N22" s="812">
        <f t="shared" si="1"/>
        <v>2529.3184584143078</v>
      </c>
      <c r="O22" s="812">
        <f t="shared" si="1"/>
        <v>0</v>
      </c>
      <c r="P22" s="812">
        <f t="shared" si="1"/>
        <v>0</v>
      </c>
      <c r="Q22" s="812">
        <f t="shared" si="1"/>
        <v>0</v>
      </c>
      <c r="R22" s="812">
        <f t="shared" si="1"/>
        <v>50383.72514031703</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4428.6601667055411</v>
      </c>
      <c r="D24" s="1013">
        <f>+landbouw!C8</f>
        <v>62.357142857142847</v>
      </c>
      <c r="E24" s="1013">
        <f>+landbouw!D8</f>
        <v>15467.103936959926</v>
      </c>
      <c r="F24" s="1013">
        <f>+landbouw!E8</f>
        <v>130.17184898889573</v>
      </c>
      <c r="G24" s="1013">
        <f>+landbouw!F8</f>
        <v>18449.558942260817</v>
      </c>
      <c r="H24" s="1013">
        <f>+landbouw!G8</f>
        <v>0</v>
      </c>
      <c r="I24" s="1013">
        <f>+landbouw!H8</f>
        <v>0</v>
      </c>
      <c r="J24" s="1013">
        <f>+landbouw!I8</f>
        <v>0</v>
      </c>
      <c r="K24" s="1013">
        <f>+landbouw!J8</f>
        <v>641.61775158987882</v>
      </c>
      <c r="L24" s="1013">
        <f>+landbouw!K8</f>
        <v>0</v>
      </c>
      <c r="M24" s="1013">
        <f>+landbouw!L8</f>
        <v>0</v>
      </c>
      <c r="N24" s="1013">
        <f>+landbouw!M8</f>
        <v>0</v>
      </c>
      <c r="O24" s="1013">
        <f>+landbouw!N8</f>
        <v>0</v>
      </c>
      <c r="P24" s="1013">
        <f>+landbouw!O8</f>
        <v>0</v>
      </c>
      <c r="Q24" s="1014">
        <f>+landbouw!P8</f>
        <v>0</v>
      </c>
      <c r="R24" s="700">
        <f>SUM(C24:Q24)</f>
        <v>39179.4697893622</v>
      </c>
      <c r="S24" s="67"/>
    </row>
    <row r="25" spans="1:19" s="473" customFormat="1" ht="15" thickBot="1">
      <c r="A25" s="831" t="s">
        <v>836</v>
      </c>
      <c r="B25" s="1016"/>
      <c r="C25" s="1017">
        <f>IF(Onbekend_ele_kWh="---",0,Onbekend_ele_kWh)/1000+IF(REST_rest_ele_kWh="---",0,REST_rest_ele_kWh)/1000</f>
        <v>697.40610208927899</v>
      </c>
      <c r="D25" s="1017"/>
      <c r="E25" s="1017">
        <f>IF(onbekend_gas_kWh="---",0,onbekend_gas_kWh)/1000+IF(REST_rest_gas_kWh="---",0,REST_rest_gas_kWh)/1000</f>
        <v>527.26567475677803</v>
      </c>
      <c r="F25" s="1017"/>
      <c r="G25" s="1017"/>
      <c r="H25" s="1017"/>
      <c r="I25" s="1017"/>
      <c r="J25" s="1017"/>
      <c r="K25" s="1017"/>
      <c r="L25" s="1017"/>
      <c r="M25" s="1017"/>
      <c r="N25" s="1017"/>
      <c r="O25" s="1017"/>
      <c r="P25" s="1017"/>
      <c r="Q25" s="1018"/>
      <c r="R25" s="700">
        <f>SUM(C25:Q25)</f>
        <v>1224.6717768460571</v>
      </c>
      <c r="S25" s="67"/>
    </row>
    <row r="26" spans="1:19" s="473" customFormat="1" ht="15.75" thickBot="1">
      <c r="A26" s="705" t="s">
        <v>837</v>
      </c>
      <c r="B26" s="817"/>
      <c r="C26" s="812">
        <f>SUM(C24:C25)</f>
        <v>5126.0662687948197</v>
      </c>
      <c r="D26" s="812">
        <f t="shared" ref="D26:R26" si="2">SUM(D24:D25)</f>
        <v>62.357142857142847</v>
      </c>
      <c r="E26" s="812">
        <f t="shared" si="2"/>
        <v>15994.369611716704</v>
      </c>
      <c r="F26" s="812">
        <f t="shared" si="2"/>
        <v>130.17184898889573</v>
      </c>
      <c r="G26" s="812">
        <f t="shared" si="2"/>
        <v>18449.558942260817</v>
      </c>
      <c r="H26" s="812">
        <f t="shared" si="2"/>
        <v>0</v>
      </c>
      <c r="I26" s="812">
        <f t="shared" si="2"/>
        <v>0</v>
      </c>
      <c r="J26" s="812">
        <f t="shared" si="2"/>
        <v>0</v>
      </c>
      <c r="K26" s="812">
        <f t="shared" si="2"/>
        <v>641.61775158987882</v>
      </c>
      <c r="L26" s="812">
        <f t="shared" si="2"/>
        <v>0</v>
      </c>
      <c r="M26" s="812">
        <f t="shared" si="2"/>
        <v>0</v>
      </c>
      <c r="N26" s="812">
        <f t="shared" si="2"/>
        <v>0</v>
      </c>
      <c r="O26" s="812">
        <f t="shared" si="2"/>
        <v>0</v>
      </c>
      <c r="P26" s="812">
        <f t="shared" si="2"/>
        <v>0</v>
      </c>
      <c r="Q26" s="812">
        <f t="shared" si="2"/>
        <v>0</v>
      </c>
      <c r="R26" s="812">
        <f t="shared" si="2"/>
        <v>40404.141566208258</v>
      </c>
      <c r="S26" s="67"/>
    </row>
    <row r="27" spans="1:19" s="473" customFormat="1" ht="17.25" thickTop="1" thickBot="1">
      <c r="A27" s="706" t="s">
        <v>116</v>
      </c>
      <c r="B27" s="805"/>
      <c r="C27" s="707">
        <f ca="1">C22+C16+C26</f>
        <v>30017.91769355649</v>
      </c>
      <c r="D27" s="707">
        <f t="shared" ref="D27:R27" ca="1" si="3">D22+D16+D26</f>
        <v>62.357142857142847</v>
      </c>
      <c r="E27" s="707">
        <f t="shared" ca="1" si="3"/>
        <v>49312.726242837802</v>
      </c>
      <c r="F27" s="707">
        <f t="shared" si="3"/>
        <v>4475.1503387384455</v>
      </c>
      <c r="G27" s="707">
        <f t="shared" ca="1" si="3"/>
        <v>31263.590604305358</v>
      </c>
      <c r="H27" s="707">
        <f t="shared" si="3"/>
        <v>38851.01877778754</v>
      </c>
      <c r="I27" s="707">
        <f t="shared" si="3"/>
        <v>8802.5977353537364</v>
      </c>
      <c r="J27" s="707">
        <f t="shared" si="3"/>
        <v>0</v>
      </c>
      <c r="K27" s="707">
        <f t="shared" si="3"/>
        <v>2246.1727302401137</v>
      </c>
      <c r="L27" s="707">
        <f t="shared" si="3"/>
        <v>0</v>
      </c>
      <c r="M27" s="707">
        <f t="shared" ca="1" si="3"/>
        <v>0</v>
      </c>
      <c r="N27" s="707">
        <f t="shared" si="3"/>
        <v>2529.3184584143078</v>
      </c>
      <c r="O27" s="707">
        <f t="shared" ca="1" si="3"/>
        <v>9803.4764792123642</v>
      </c>
      <c r="P27" s="707">
        <f t="shared" si="3"/>
        <v>234.5</v>
      </c>
      <c r="Q27" s="707">
        <f t="shared" si="3"/>
        <v>781.73333333333335</v>
      </c>
      <c r="R27" s="707">
        <f t="shared" ca="1" si="3"/>
        <v>178380.55953663663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1182.4822783436018</v>
      </c>
      <c r="D40" s="1013">
        <f ca="1">tertiair!C20</f>
        <v>0</v>
      </c>
      <c r="E40" s="1013">
        <f ca="1">tertiair!D20</f>
        <v>1037.3067030493846</v>
      </c>
      <c r="F40" s="1013">
        <f>tertiair!E20</f>
        <v>19.635898037518665</v>
      </c>
      <c r="G40" s="1013">
        <f ca="1">tertiair!F20</f>
        <v>272.39333674208427</v>
      </c>
      <c r="H40" s="1013">
        <f>tertiair!G20</f>
        <v>0</v>
      </c>
      <c r="I40" s="1013">
        <f>tertiair!H20</f>
        <v>0</v>
      </c>
      <c r="J40" s="1013">
        <f>tertiair!I20</f>
        <v>0</v>
      </c>
      <c r="K40" s="1013">
        <f>tertiair!J20</f>
        <v>5.6275494922534931E-3</v>
      </c>
      <c r="L40" s="1013">
        <f>tertiair!K20</f>
        <v>0</v>
      </c>
      <c r="M40" s="1013">
        <f ca="1">tertiair!L20</f>
        <v>0</v>
      </c>
      <c r="N40" s="1013">
        <f>tertiair!M20</f>
        <v>0</v>
      </c>
      <c r="O40" s="1013">
        <f ca="1">tertiair!N20</f>
        <v>0</v>
      </c>
      <c r="P40" s="1013">
        <f>tertiair!O20</f>
        <v>0</v>
      </c>
      <c r="Q40" s="774">
        <f>tertiair!P20</f>
        <v>0</v>
      </c>
      <c r="R40" s="850">
        <f t="shared" ca="1" si="4"/>
        <v>2511.8238437220812</v>
      </c>
    </row>
    <row r="41" spans="1:18">
      <c r="A41" s="822" t="s">
        <v>225</v>
      </c>
      <c r="B41" s="829"/>
      <c r="C41" s="1013">
        <f ca="1">huishoudens!B12</f>
        <v>2103.4993423510641</v>
      </c>
      <c r="D41" s="1013">
        <f ca="1">huishoudens!C12</f>
        <v>0</v>
      </c>
      <c r="E41" s="1013">
        <f>huishoudens!D12</f>
        <v>2816.0160966590438</v>
      </c>
      <c r="F41" s="1013">
        <f>huishoudens!E12</f>
        <v>808.68861014958327</v>
      </c>
      <c r="G41" s="1013">
        <f>huishoudens!F12</f>
        <v>2621.0958246193318</v>
      </c>
      <c r="H41" s="1013">
        <f>huishoudens!G12</f>
        <v>0</v>
      </c>
      <c r="I41" s="1013">
        <f>huishoudens!H12</f>
        <v>0</v>
      </c>
      <c r="J41" s="1013">
        <f>huishoudens!I12</f>
        <v>0</v>
      </c>
      <c r="K41" s="1013">
        <f>huishoudens!J12</f>
        <v>559.20057744364749</v>
      </c>
      <c r="L41" s="1013">
        <f>huishoudens!K12</f>
        <v>0</v>
      </c>
      <c r="M41" s="1013">
        <f>huishoudens!L12</f>
        <v>0</v>
      </c>
      <c r="N41" s="1013">
        <f>huishoudens!M12</f>
        <v>0</v>
      </c>
      <c r="O41" s="1013">
        <f>huishoudens!N12</f>
        <v>0</v>
      </c>
      <c r="P41" s="1013">
        <f>huishoudens!O12</f>
        <v>0</v>
      </c>
      <c r="Q41" s="774">
        <f>huishoudens!P12</f>
        <v>0</v>
      </c>
      <c r="R41" s="850">
        <f t="shared" ca="1" si="4"/>
        <v>8908.5004512226697</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1576.3587410161444</v>
      </c>
      <c r="D43" s="1013">
        <f ca="1">industrie!C22</f>
        <v>0</v>
      </c>
      <c r="E43" s="1013">
        <f>industrie!D22</f>
        <v>2861.0902382746649</v>
      </c>
      <c r="F43" s="1013">
        <f>industrie!E22</f>
        <v>134.66305911381588</v>
      </c>
      <c r="G43" s="1013">
        <f>industrie!F22</f>
        <v>527.85729240447654</v>
      </c>
      <c r="H43" s="1013">
        <f>industrie!G22</f>
        <v>0</v>
      </c>
      <c r="I43" s="1013">
        <f>industrie!H22</f>
        <v>0</v>
      </c>
      <c r="J43" s="1013">
        <f>industrie!I22</f>
        <v>0</v>
      </c>
      <c r="K43" s="1013">
        <f>industrie!J22</f>
        <v>8.8062574490434482</v>
      </c>
      <c r="L43" s="1013">
        <f>industrie!K22</f>
        <v>0</v>
      </c>
      <c r="M43" s="1013">
        <f>industrie!L22</f>
        <v>0</v>
      </c>
      <c r="N43" s="1013">
        <f>industrie!M22</f>
        <v>0</v>
      </c>
      <c r="O43" s="1013">
        <f>industrie!N22</f>
        <v>0</v>
      </c>
      <c r="P43" s="1013">
        <f>industrie!O22</f>
        <v>0</v>
      </c>
      <c r="Q43" s="774">
        <f>industrie!P22</f>
        <v>0</v>
      </c>
      <c r="R43" s="849">
        <f t="shared" ca="1" si="4"/>
        <v>5108.775588258145</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4862.3403617108106</v>
      </c>
      <c r="D46" s="732">
        <f t="shared" ref="D46:Q46" ca="1" si="5">SUM(D39:D45)</f>
        <v>0</v>
      </c>
      <c r="E46" s="732">
        <f t="shared" ca="1" si="5"/>
        <v>6714.4130379830931</v>
      </c>
      <c r="F46" s="732">
        <f t="shared" si="5"/>
        <v>962.98756730091782</v>
      </c>
      <c r="G46" s="732">
        <f t="shared" ca="1" si="5"/>
        <v>3421.3464537658924</v>
      </c>
      <c r="H46" s="732">
        <f t="shared" si="5"/>
        <v>0</v>
      </c>
      <c r="I46" s="732">
        <f t="shared" si="5"/>
        <v>0</v>
      </c>
      <c r="J46" s="732">
        <f t="shared" si="5"/>
        <v>0</v>
      </c>
      <c r="K46" s="732">
        <f t="shared" si="5"/>
        <v>568.01246244218316</v>
      </c>
      <c r="L46" s="732">
        <f t="shared" si="5"/>
        <v>0</v>
      </c>
      <c r="M46" s="732">
        <f t="shared" ca="1" si="5"/>
        <v>0</v>
      </c>
      <c r="N46" s="732">
        <f t="shared" si="5"/>
        <v>0</v>
      </c>
      <c r="O46" s="732">
        <f t="shared" ca="1" si="5"/>
        <v>0</v>
      </c>
      <c r="P46" s="732">
        <f t="shared" si="5"/>
        <v>0</v>
      </c>
      <c r="Q46" s="732">
        <f t="shared" si="5"/>
        <v>0</v>
      </c>
      <c r="R46" s="732">
        <f ca="1">SUM(R39:R45)</f>
        <v>16529.099883202896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39.965142113061283</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39.965142113061283</v>
      </c>
    </row>
    <row r="50" spans="1:18">
      <c r="A50" s="825" t="s">
        <v>307</v>
      </c>
      <c r="B50" s="835"/>
      <c r="C50" s="703">
        <f ca="1">transport!B18</f>
        <v>3.7846080927348433</v>
      </c>
      <c r="D50" s="703">
        <f>transport!C18</f>
        <v>0</v>
      </c>
      <c r="E50" s="703">
        <f>transport!D18</f>
        <v>15.895001503367382</v>
      </c>
      <c r="F50" s="703">
        <f>transport!E18</f>
        <v>23.322549872230038</v>
      </c>
      <c r="G50" s="703">
        <f>transport!F18</f>
        <v>0</v>
      </c>
      <c r="H50" s="703">
        <f>transport!G18</f>
        <v>10333.256871556212</v>
      </c>
      <c r="I50" s="703">
        <f>transport!H18</f>
        <v>2191.8468361030805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12568.105867127626</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3.7846080927348433</v>
      </c>
      <c r="D52" s="732">
        <f t="shared" ref="D52:Q52" ca="1" si="6">SUM(D48:D51)</f>
        <v>0</v>
      </c>
      <c r="E52" s="732">
        <f t="shared" si="6"/>
        <v>15.895001503367382</v>
      </c>
      <c r="F52" s="732">
        <f t="shared" si="6"/>
        <v>23.322549872230038</v>
      </c>
      <c r="G52" s="732">
        <f t="shared" si="6"/>
        <v>0</v>
      </c>
      <c r="H52" s="732">
        <f t="shared" si="6"/>
        <v>10373.222013669274</v>
      </c>
      <c r="I52" s="732">
        <f t="shared" si="6"/>
        <v>2191.8468361030805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12608.071009240688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865.76178895807072</v>
      </c>
      <c r="D54" s="703">
        <f ca="1">+landbouw!C12</f>
        <v>0</v>
      </c>
      <c r="E54" s="703">
        <f>+landbouw!D12</f>
        <v>3124.354995265905</v>
      </c>
      <c r="F54" s="703">
        <f>+landbouw!E12</f>
        <v>29.549009720479333</v>
      </c>
      <c r="G54" s="703">
        <f>+landbouw!F12</f>
        <v>4926.0322375836386</v>
      </c>
      <c r="H54" s="703">
        <f>+landbouw!G12</f>
        <v>0</v>
      </c>
      <c r="I54" s="703">
        <f>+landbouw!H12</f>
        <v>0</v>
      </c>
      <c r="J54" s="703">
        <f>+landbouw!I12</f>
        <v>0</v>
      </c>
      <c r="K54" s="703">
        <f>+landbouw!J12</f>
        <v>227.13268406281708</v>
      </c>
      <c r="L54" s="703">
        <f>+landbouw!K12</f>
        <v>0</v>
      </c>
      <c r="M54" s="703">
        <f>+landbouw!L12</f>
        <v>0</v>
      </c>
      <c r="N54" s="703">
        <f>+landbouw!M12</f>
        <v>0</v>
      </c>
      <c r="O54" s="703">
        <f>+landbouw!N12</f>
        <v>0</v>
      </c>
      <c r="P54" s="703">
        <f>+landbouw!O12</f>
        <v>0</v>
      </c>
      <c r="Q54" s="704">
        <f>+landbouw!P12</f>
        <v>0</v>
      </c>
      <c r="R54" s="731">
        <f ca="1">SUM(C54:Q54)</f>
        <v>9172.8307155909097</v>
      </c>
    </row>
    <row r="55" spans="1:18" ht="15" thickBot="1">
      <c r="A55" s="825" t="s">
        <v>836</v>
      </c>
      <c r="B55" s="835"/>
      <c r="C55" s="703">
        <f ca="1">C25*'EF ele_warmte'!B12</f>
        <v>136.33639336662938</v>
      </c>
      <c r="D55" s="703"/>
      <c r="E55" s="703">
        <f>E25*EF_CO2_aardgas</f>
        <v>106.50766630086916</v>
      </c>
      <c r="F55" s="703"/>
      <c r="G55" s="703"/>
      <c r="H55" s="703"/>
      <c r="I55" s="703"/>
      <c r="J55" s="703"/>
      <c r="K55" s="703"/>
      <c r="L55" s="703"/>
      <c r="M55" s="703"/>
      <c r="N55" s="703"/>
      <c r="O55" s="703"/>
      <c r="P55" s="703"/>
      <c r="Q55" s="704"/>
      <c r="R55" s="731">
        <f ca="1">SUM(C55:Q55)</f>
        <v>242.84405966749853</v>
      </c>
    </row>
    <row r="56" spans="1:18" ht="15.75" thickBot="1">
      <c r="A56" s="823" t="s">
        <v>837</v>
      </c>
      <c r="B56" s="836"/>
      <c r="C56" s="732">
        <f ca="1">SUM(C54:C55)</f>
        <v>1002.0981823247001</v>
      </c>
      <c r="D56" s="732">
        <f t="shared" ref="D56:Q56" ca="1" si="7">SUM(D54:D55)</f>
        <v>0</v>
      </c>
      <c r="E56" s="732">
        <f t="shared" si="7"/>
        <v>3230.862661566774</v>
      </c>
      <c r="F56" s="732">
        <f t="shared" si="7"/>
        <v>29.549009720479333</v>
      </c>
      <c r="G56" s="732">
        <f t="shared" si="7"/>
        <v>4926.0322375836386</v>
      </c>
      <c r="H56" s="732">
        <f t="shared" si="7"/>
        <v>0</v>
      </c>
      <c r="I56" s="732">
        <f t="shared" si="7"/>
        <v>0</v>
      </c>
      <c r="J56" s="732">
        <f t="shared" si="7"/>
        <v>0</v>
      </c>
      <c r="K56" s="732">
        <f t="shared" si="7"/>
        <v>227.13268406281708</v>
      </c>
      <c r="L56" s="732">
        <f t="shared" si="7"/>
        <v>0</v>
      </c>
      <c r="M56" s="732">
        <f t="shared" si="7"/>
        <v>0</v>
      </c>
      <c r="N56" s="732">
        <f t="shared" si="7"/>
        <v>0</v>
      </c>
      <c r="O56" s="732">
        <f t="shared" si="7"/>
        <v>0</v>
      </c>
      <c r="P56" s="732">
        <f t="shared" si="7"/>
        <v>0</v>
      </c>
      <c r="Q56" s="733">
        <f t="shared" si="7"/>
        <v>0</v>
      </c>
      <c r="R56" s="734">
        <f ca="1">SUM(R54:R55)</f>
        <v>9415.6747752584088</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5868.2231521282456</v>
      </c>
      <c r="D61" s="740">
        <f t="shared" ref="D61:Q61" ca="1" si="8">D46+D52+D56</f>
        <v>0</v>
      </c>
      <c r="E61" s="740">
        <f t="shared" ca="1" si="8"/>
        <v>9961.1707010532336</v>
      </c>
      <c r="F61" s="740">
        <f t="shared" si="8"/>
        <v>1015.8591268936273</v>
      </c>
      <c r="G61" s="740">
        <f t="shared" ca="1" si="8"/>
        <v>8347.3786913495314</v>
      </c>
      <c r="H61" s="740">
        <f t="shared" si="8"/>
        <v>10373.222013669274</v>
      </c>
      <c r="I61" s="740">
        <f t="shared" si="8"/>
        <v>2191.8468361030805</v>
      </c>
      <c r="J61" s="740">
        <f t="shared" si="8"/>
        <v>0</v>
      </c>
      <c r="K61" s="740">
        <f t="shared" si="8"/>
        <v>795.14514650500018</v>
      </c>
      <c r="L61" s="740">
        <f t="shared" si="8"/>
        <v>0</v>
      </c>
      <c r="M61" s="740">
        <f t="shared" ca="1" si="8"/>
        <v>0</v>
      </c>
      <c r="N61" s="740">
        <f t="shared" si="8"/>
        <v>0</v>
      </c>
      <c r="O61" s="740">
        <f t="shared" ca="1" si="8"/>
        <v>0</v>
      </c>
      <c r="P61" s="740">
        <f t="shared" si="8"/>
        <v>0</v>
      </c>
      <c r="Q61" s="740">
        <f t="shared" si="8"/>
        <v>0</v>
      </c>
      <c r="R61" s="740">
        <f ca="1">R46+R52+R56</f>
        <v>38552.845667701993</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0.19549068033416228</v>
      </c>
      <c r="D63" s="781">
        <f t="shared" ca="1" si="9"/>
        <v>0</v>
      </c>
      <c r="E63" s="1024">
        <f t="shared" ca="1" si="9"/>
        <v>0.20199999999999996</v>
      </c>
      <c r="F63" s="781">
        <f t="shared" si="9"/>
        <v>0.22700000000000004</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3421.2217563246104</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43.649999999999991</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51.35294117647058</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3464.8717563246105</v>
      </c>
      <c r="C78" s="755">
        <f>SUM(C72:C77)</f>
        <v>0</v>
      </c>
      <c r="D78" s="756">
        <f t="shared" ref="D78:H78" si="10">SUM(D76:D77)</f>
        <v>0</v>
      </c>
      <c r="E78" s="756">
        <f t="shared" si="10"/>
        <v>0</v>
      </c>
      <c r="F78" s="756">
        <f t="shared" si="10"/>
        <v>0</v>
      </c>
      <c r="G78" s="756">
        <f t="shared" si="10"/>
        <v>0</v>
      </c>
      <c r="H78" s="756">
        <f t="shared" si="10"/>
        <v>0</v>
      </c>
      <c r="I78" s="756">
        <f>SUM(I76:I77)</f>
        <v>0</v>
      </c>
      <c r="J78" s="756">
        <f>SUM(J76:J77)</f>
        <v>51.35294117647058</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62.357142857142847</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73.361344537815114</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62.357142857142847</v>
      </c>
      <c r="C90" s="755">
        <f>SUM(C87:C89)</f>
        <v>0</v>
      </c>
      <c r="D90" s="755">
        <f t="shared" ref="D90:H90" si="12">SUM(D87:D89)</f>
        <v>0</v>
      </c>
      <c r="E90" s="755">
        <f t="shared" si="12"/>
        <v>0</v>
      </c>
      <c r="F90" s="755">
        <f t="shared" si="12"/>
        <v>0</v>
      </c>
      <c r="G90" s="755">
        <f t="shared" si="12"/>
        <v>0</v>
      </c>
      <c r="H90" s="755">
        <f t="shared" si="12"/>
        <v>0</v>
      </c>
      <c r="I90" s="755">
        <f>SUM(I87:I89)</f>
        <v>0</v>
      </c>
      <c r="J90" s="755">
        <f>SUM(J87:J89)</f>
        <v>73.361344537815114</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10760.100372843577</v>
      </c>
      <c r="C4" s="477">
        <f>huishoudens!C8</f>
        <v>0</v>
      </c>
      <c r="D4" s="477">
        <f>huishoudens!D8</f>
        <v>13940.67374583685</v>
      </c>
      <c r="E4" s="477">
        <f>huishoudens!E8</f>
        <v>3562.5048905267986</v>
      </c>
      <c r="F4" s="477">
        <f>huishoudens!F8</f>
        <v>9816.8382944544264</v>
      </c>
      <c r="G4" s="477">
        <f>huishoudens!G8</f>
        <v>0</v>
      </c>
      <c r="H4" s="477">
        <f>huishoudens!H8</f>
        <v>0</v>
      </c>
      <c r="I4" s="477">
        <f>huishoudens!I8</f>
        <v>0</v>
      </c>
      <c r="J4" s="477">
        <f>huishoudens!J8</f>
        <v>1579.6626481458968</v>
      </c>
      <c r="K4" s="477">
        <f>huishoudens!K8</f>
        <v>0</v>
      </c>
      <c r="L4" s="477">
        <f>huishoudens!L8</f>
        <v>0</v>
      </c>
      <c r="M4" s="477">
        <f>huishoudens!M8</f>
        <v>0</v>
      </c>
      <c r="N4" s="477">
        <f>huishoudens!N8</f>
        <v>7358.0747094384615</v>
      </c>
      <c r="O4" s="477">
        <f>huishoudens!O8</f>
        <v>231.37333333333333</v>
      </c>
      <c r="P4" s="478">
        <f>huishoudens!P8</f>
        <v>743.6</v>
      </c>
      <c r="Q4" s="479">
        <f>SUM(B4:P4)</f>
        <v>47992.827994579347</v>
      </c>
    </row>
    <row r="5" spans="1:17">
      <c r="A5" s="476" t="s">
        <v>156</v>
      </c>
      <c r="B5" s="477">
        <f ca="1">tertiair!B16</f>
        <v>5705.1800539894994</v>
      </c>
      <c r="C5" s="477">
        <f ca="1">tertiair!C16</f>
        <v>0</v>
      </c>
      <c r="D5" s="477">
        <f ca="1">tertiair!D16</f>
        <v>5135.1816982642804</v>
      </c>
      <c r="E5" s="477">
        <f>tertiair!E16</f>
        <v>86.501753469245216</v>
      </c>
      <c r="F5" s="477">
        <f ca="1">tertiair!F16</f>
        <v>1020.1997630789672</v>
      </c>
      <c r="G5" s="477">
        <f>tertiair!G16</f>
        <v>0</v>
      </c>
      <c r="H5" s="477">
        <f>tertiair!H16</f>
        <v>0</v>
      </c>
      <c r="I5" s="477">
        <f>tertiair!I16</f>
        <v>0</v>
      </c>
      <c r="J5" s="477">
        <f>tertiair!J16</f>
        <v>1.5897032463992919E-2</v>
      </c>
      <c r="K5" s="477">
        <f>tertiair!K16</f>
        <v>0</v>
      </c>
      <c r="L5" s="477">
        <f ca="1">tertiair!L16</f>
        <v>0</v>
      </c>
      <c r="M5" s="477">
        <f>tertiair!M16</f>
        <v>0</v>
      </c>
      <c r="N5" s="477">
        <f ca="1">tertiair!N16</f>
        <v>630.45949395365676</v>
      </c>
      <c r="O5" s="477">
        <f>tertiair!O16</f>
        <v>3.1266666666666669</v>
      </c>
      <c r="P5" s="478">
        <f>tertiair!P16</f>
        <v>38.133333333333333</v>
      </c>
      <c r="Q5" s="476">
        <f t="shared" ref="Q5:Q14" ca="1" si="0">SUM(B5:P5)</f>
        <v>12618.798659788112</v>
      </c>
    </row>
    <row r="6" spans="1:17">
      <c r="A6" s="476" t="s">
        <v>194</v>
      </c>
      <c r="B6" s="477">
        <f>'openbare verlichting'!B8</f>
        <v>343.61099999999999</v>
      </c>
      <c r="C6" s="477"/>
      <c r="D6" s="477"/>
      <c r="E6" s="477"/>
      <c r="F6" s="477"/>
      <c r="G6" s="477"/>
      <c r="H6" s="477"/>
      <c r="I6" s="477"/>
      <c r="J6" s="477"/>
      <c r="K6" s="477"/>
      <c r="L6" s="477"/>
      <c r="M6" s="477"/>
      <c r="N6" s="477"/>
      <c r="O6" s="477"/>
      <c r="P6" s="478"/>
      <c r="Q6" s="476">
        <f t="shared" si="0"/>
        <v>343.61099999999999</v>
      </c>
    </row>
    <row r="7" spans="1:17">
      <c r="A7" s="476" t="s">
        <v>112</v>
      </c>
      <c r="B7" s="477">
        <f>landbouw!B8</f>
        <v>4428.6601667055411</v>
      </c>
      <c r="C7" s="477">
        <f>landbouw!C8</f>
        <v>62.357142857142847</v>
      </c>
      <c r="D7" s="477">
        <f>landbouw!D8</f>
        <v>15467.103936959926</v>
      </c>
      <c r="E7" s="477">
        <f>landbouw!E8</f>
        <v>130.17184898889573</v>
      </c>
      <c r="F7" s="477">
        <f>landbouw!F8</f>
        <v>18449.558942260817</v>
      </c>
      <c r="G7" s="477">
        <f>landbouw!G8</f>
        <v>0</v>
      </c>
      <c r="H7" s="477">
        <f>landbouw!H8</f>
        <v>0</v>
      </c>
      <c r="I7" s="477">
        <f>landbouw!I8</f>
        <v>0</v>
      </c>
      <c r="J7" s="477">
        <f>landbouw!J8</f>
        <v>641.61775158987882</v>
      </c>
      <c r="K7" s="477">
        <f>landbouw!K8</f>
        <v>0</v>
      </c>
      <c r="L7" s="477">
        <f>landbouw!L8</f>
        <v>0</v>
      </c>
      <c r="M7" s="477">
        <f>landbouw!M8</f>
        <v>0</v>
      </c>
      <c r="N7" s="477">
        <f>landbouw!N8</f>
        <v>0</v>
      </c>
      <c r="O7" s="477">
        <f>landbouw!O8</f>
        <v>0</v>
      </c>
      <c r="P7" s="478">
        <f>landbouw!P8</f>
        <v>0</v>
      </c>
      <c r="Q7" s="476">
        <f t="shared" si="0"/>
        <v>39179.4697893622</v>
      </c>
    </row>
    <row r="8" spans="1:17">
      <c r="A8" s="476" t="s">
        <v>635</v>
      </c>
      <c r="B8" s="477">
        <f>industrie!B18</f>
        <v>8063.600465871792</v>
      </c>
      <c r="C8" s="477">
        <f>industrie!C18</f>
        <v>0</v>
      </c>
      <c r="D8" s="477">
        <f>industrie!D18</f>
        <v>14163.813060765668</v>
      </c>
      <c r="E8" s="477">
        <f>industrie!E18</f>
        <v>593.22933530315368</v>
      </c>
      <c r="F8" s="477">
        <f>industrie!F18</f>
        <v>1976.9936045111481</v>
      </c>
      <c r="G8" s="477">
        <f>industrie!G18</f>
        <v>0</v>
      </c>
      <c r="H8" s="477">
        <f>industrie!H18</f>
        <v>0</v>
      </c>
      <c r="I8" s="477">
        <f>industrie!I18</f>
        <v>0</v>
      </c>
      <c r="J8" s="477">
        <f>industrie!J18</f>
        <v>24.876433471874151</v>
      </c>
      <c r="K8" s="477">
        <f>industrie!K18</f>
        <v>0</v>
      </c>
      <c r="L8" s="477">
        <f>industrie!L18</f>
        <v>0</v>
      </c>
      <c r="M8" s="477">
        <f>industrie!M18</f>
        <v>0</v>
      </c>
      <c r="N8" s="477">
        <f>industrie!N18</f>
        <v>1814.9422758202466</v>
      </c>
      <c r="O8" s="477">
        <f>industrie!O18</f>
        <v>0</v>
      </c>
      <c r="P8" s="478">
        <f>industrie!P18</f>
        <v>0</v>
      </c>
      <c r="Q8" s="476">
        <f t="shared" si="0"/>
        <v>26637.455175743878</v>
      </c>
    </row>
    <row r="9" spans="1:17" s="482" customFormat="1">
      <c r="A9" s="480" t="s">
        <v>561</v>
      </c>
      <c r="B9" s="481">
        <f>transport!B14</f>
        <v>19.359532056799935</v>
      </c>
      <c r="C9" s="481">
        <f>transport!C14</f>
        <v>0</v>
      </c>
      <c r="D9" s="481">
        <f>transport!D14</f>
        <v>78.688126254293962</v>
      </c>
      <c r="E9" s="481">
        <f>transport!E14</f>
        <v>102.74251045035258</v>
      </c>
      <c r="F9" s="481">
        <f>transport!F14</f>
        <v>0</v>
      </c>
      <c r="G9" s="481">
        <f>transport!G14</f>
        <v>38701.336597588808</v>
      </c>
      <c r="H9" s="481">
        <f>transport!H14</f>
        <v>8802.5977353537364</v>
      </c>
      <c r="I9" s="481">
        <f>transport!I14</f>
        <v>0</v>
      </c>
      <c r="J9" s="481">
        <f>transport!J14</f>
        <v>0</v>
      </c>
      <c r="K9" s="481">
        <f>transport!K14</f>
        <v>0</v>
      </c>
      <c r="L9" s="481">
        <f>transport!L14</f>
        <v>0</v>
      </c>
      <c r="M9" s="481">
        <f>transport!M14</f>
        <v>2520.8171713624379</v>
      </c>
      <c r="N9" s="481">
        <f>transport!N14</f>
        <v>0</v>
      </c>
      <c r="O9" s="481">
        <f>transport!O14</f>
        <v>0</v>
      </c>
      <c r="P9" s="481">
        <f>transport!P14</f>
        <v>0</v>
      </c>
      <c r="Q9" s="480">
        <f>SUM(B9:P9)</f>
        <v>50225.541673066429</v>
      </c>
    </row>
    <row r="10" spans="1:17">
      <c r="A10" s="476" t="s">
        <v>551</v>
      </c>
      <c r="B10" s="477">
        <f>transport!B54</f>
        <v>0</v>
      </c>
      <c r="C10" s="477">
        <f>transport!C54</f>
        <v>0</v>
      </c>
      <c r="D10" s="477">
        <f>transport!D54</f>
        <v>0</v>
      </c>
      <c r="E10" s="477">
        <f>transport!E54</f>
        <v>0</v>
      </c>
      <c r="F10" s="477">
        <f>transport!F54</f>
        <v>0</v>
      </c>
      <c r="G10" s="477">
        <f>transport!G54</f>
        <v>149.6821801987314</v>
      </c>
      <c r="H10" s="477">
        <f>transport!H54</f>
        <v>0</v>
      </c>
      <c r="I10" s="477">
        <f>transport!I54</f>
        <v>0</v>
      </c>
      <c r="J10" s="477">
        <f>transport!J54</f>
        <v>0</v>
      </c>
      <c r="K10" s="477">
        <f>transport!K54</f>
        <v>0</v>
      </c>
      <c r="L10" s="477">
        <f>transport!L54</f>
        <v>0</v>
      </c>
      <c r="M10" s="477">
        <f>transport!M54</f>
        <v>8.5012870518700492</v>
      </c>
      <c r="N10" s="477">
        <f>transport!N54</f>
        <v>0</v>
      </c>
      <c r="O10" s="477">
        <f>transport!O54</f>
        <v>0</v>
      </c>
      <c r="P10" s="478">
        <f>transport!P54</f>
        <v>0</v>
      </c>
      <c r="Q10" s="476">
        <f t="shared" si="0"/>
        <v>158.18346725060144</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697.40610208927899</v>
      </c>
      <c r="C14" s="484"/>
      <c r="D14" s="484">
        <f>'SEAP template'!E25</f>
        <v>527.26567475677803</v>
      </c>
      <c r="E14" s="484"/>
      <c r="F14" s="484"/>
      <c r="G14" s="484"/>
      <c r="H14" s="484"/>
      <c r="I14" s="484"/>
      <c r="J14" s="484"/>
      <c r="K14" s="484"/>
      <c r="L14" s="484"/>
      <c r="M14" s="484"/>
      <c r="N14" s="484"/>
      <c r="O14" s="484"/>
      <c r="P14" s="485"/>
      <c r="Q14" s="476">
        <f t="shared" si="0"/>
        <v>1224.6717768460571</v>
      </c>
    </row>
    <row r="15" spans="1:17" s="486" customFormat="1">
      <c r="A15" s="1039" t="s">
        <v>555</v>
      </c>
      <c r="B15" s="987">
        <f ca="1">SUM(B4:B14)</f>
        <v>30017.917693556486</v>
      </c>
      <c r="C15" s="987">
        <f t="shared" ref="C15:Q15" ca="1" si="1">SUM(C4:C14)</f>
        <v>62.357142857142847</v>
      </c>
      <c r="D15" s="987">
        <f t="shared" ca="1" si="1"/>
        <v>49312.726242837787</v>
      </c>
      <c r="E15" s="987">
        <f t="shared" si="1"/>
        <v>4475.1503387384455</v>
      </c>
      <c r="F15" s="987">
        <f t="shared" ca="1" si="1"/>
        <v>31263.590604305355</v>
      </c>
      <c r="G15" s="987">
        <f t="shared" si="1"/>
        <v>38851.01877778754</v>
      </c>
      <c r="H15" s="987">
        <f t="shared" si="1"/>
        <v>8802.5977353537364</v>
      </c>
      <c r="I15" s="987">
        <f t="shared" si="1"/>
        <v>0</v>
      </c>
      <c r="J15" s="987">
        <f t="shared" si="1"/>
        <v>2246.1727302401137</v>
      </c>
      <c r="K15" s="987">
        <f t="shared" si="1"/>
        <v>0</v>
      </c>
      <c r="L15" s="987">
        <f t="shared" ca="1" si="1"/>
        <v>0</v>
      </c>
      <c r="M15" s="987">
        <f t="shared" si="1"/>
        <v>2529.3184584143078</v>
      </c>
      <c r="N15" s="987">
        <f t="shared" ca="1" si="1"/>
        <v>9803.4764792123642</v>
      </c>
      <c r="O15" s="987">
        <f t="shared" si="1"/>
        <v>234.5</v>
      </c>
      <c r="P15" s="987">
        <f t="shared" si="1"/>
        <v>781.73333333333335</v>
      </c>
      <c r="Q15" s="987">
        <f t="shared" ca="1" si="1"/>
        <v>178380.55953663663</v>
      </c>
    </row>
    <row r="17" spans="1:17">
      <c r="A17" s="487" t="s">
        <v>556</v>
      </c>
      <c r="B17" s="786">
        <f ca="1">huishoudens!B10</f>
        <v>0.19549068033416228</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2103.4993423510641</v>
      </c>
      <c r="C22" s="477">
        <f t="shared" ref="C22:C32" ca="1" si="3">C4*$C$17</f>
        <v>0</v>
      </c>
      <c r="D22" s="477">
        <f t="shared" ref="D22:D32" si="4">D4*$D$17</f>
        <v>2816.0160966590438</v>
      </c>
      <c r="E22" s="477">
        <f t="shared" ref="E22:E32" si="5">E4*$E$17</f>
        <v>808.68861014958327</v>
      </c>
      <c r="F22" s="477">
        <f t="shared" ref="F22:F32" si="6">F4*$F$17</f>
        <v>2621.0958246193318</v>
      </c>
      <c r="G22" s="477">
        <f t="shared" ref="G22:G32" si="7">G4*$G$17</f>
        <v>0</v>
      </c>
      <c r="H22" s="477">
        <f t="shared" ref="H22:H32" si="8">H4*$H$17</f>
        <v>0</v>
      </c>
      <c r="I22" s="477">
        <f t="shared" ref="I22:I32" si="9">I4*$I$17</f>
        <v>0</v>
      </c>
      <c r="J22" s="477">
        <f t="shared" ref="J22:J32" si="10">J4*$J$17</f>
        <v>559.20057744364749</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8908.5004512226697</v>
      </c>
    </row>
    <row r="23" spans="1:17">
      <c r="A23" s="476" t="s">
        <v>156</v>
      </c>
      <c r="B23" s="477">
        <f t="shared" ca="1" si="2"/>
        <v>1115.3095301833</v>
      </c>
      <c r="C23" s="477">
        <f t="shared" ca="1" si="3"/>
        <v>0</v>
      </c>
      <c r="D23" s="477">
        <f t="shared" ca="1" si="4"/>
        <v>1037.3067030493846</v>
      </c>
      <c r="E23" s="477">
        <f t="shared" si="5"/>
        <v>19.635898037518665</v>
      </c>
      <c r="F23" s="477">
        <f t="shared" ca="1" si="6"/>
        <v>272.39333674208427</v>
      </c>
      <c r="G23" s="477">
        <f t="shared" si="7"/>
        <v>0</v>
      </c>
      <c r="H23" s="477">
        <f t="shared" si="8"/>
        <v>0</v>
      </c>
      <c r="I23" s="477">
        <f t="shared" si="9"/>
        <v>0</v>
      </c>
      <c r="J23" s="477">
        <f t="shared" si="10"/>
        <v>5.6275494922534931E-3</v>
      </c>
      <c r="K23" s="477">
        <f t="shared" si="11"/>
        <v>0</v>
      </c>
      <c r="L23" s="477">
        <f t="shared" ca="1" si="12"/>
        <v>0</v>
      </c>
      <c r="M23" s="477">
        <f t="shared" si="13"/>
        <v>0</v>
      </c>
      <c r="N23" s="477">
        <f t="shared" ca="1" si="14"/>
        <v>0</v>
      </c>
      <c r="O23" s="477">
        <f t="shared" si="15"/>
        <v>0</v>
      </c>
      <c r="P23" s="478">
        <f t="shared" si="16"/>
        <v>0</v>
      </c>
      <c r="Q23" s="476">
        <f t="shared" ref="Q23:Q32" ca="1" si="17">SUM(B23:P23)</f>
        <v>2444.6510955617796</v>
      </c>
    </row>
    <row r="24" spans="1:17">
      <c r="A24" s="476" t="s">
        <v>194</v>
      </c>
      <c r="B24" s="477">
        <f t="shared" ca="1" si="2"/>
        <v>67.172748160301836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67.172748160301836</v>
      </c>
    </row>
    <row r="25" spans="1:17">
      <c r="A25" s="476" t="s">
        <v>112</v>
      </c>
      <c r="B25" s="477">
        <f t="shared" ca="1" si="2"/>
        <v>865.76178895807072</v>
      </c>
      <c r="C25" s="477">
        <f t="shared" ca="1" si="3"/>
        <v>0</v>
      </c>
      <c r="D25" s="477">
        <f t="shared" si="4"/>
        <v>3124.354995265905</v>
      </c>
      <c r="E25" s="477">
        <f t="shared" si="5"/>
        <v>29.549009720479333</v>
      </c>
      <c r="F25" s="477">
        <f t="shared" si="6"/>
        <v>4926.0322375836386</v>
      </c>
      <c r="G25" s="477">
        <f t="shared" si="7"/>
        <v>0</v>
      </c>
      <c r="H25" s="477">
        <f t="shared" si="8"/>
        <v>0</v>
      </c>
      <c r="I25" s="477">
        <f t="shared" si="9"/>
        <v>0</v>
      </c>
      <c r="J25" s="477">
        <f t="shared" si="10"/>
        <v>227.13268406281708</v>
      </c>
      <c r="K25" s="477">
        <f t="shared" si="11"/>
        <v>0</v>
      </c>
      <c r="L25" s="477">
        <f t="shared" si="12"/>
        <v>0</v>
      </c>
      <c r="M25" s="477">
        <f t="shared" si="13"/>
        <v>0</v>
      </c>
      <c r="N25" s="477">
        <f t="shared" si="14"/>
        <v>0</v>
      </c>
      <c r="O25" s="477">
        <f t="shared" si="15"/>
        <v>0</v>
      </c>
      <c r="P25" s="478">
        <f t="shared" si="16"/>
        <v>0</v>
      </c>
      <c r="Q25" s="476">
        <f t="shared" ca="1" si="17"/>
        <v>9172.8307155909097</v>
      </c>
    </row>
    <row r="26" spans="1:17">
      <c r="A26" s="476" t="s">
        <v>635</v>
      </c>
      <c r="B26" s="477">
        <f t="shared" ca="1" si="2"/>
        <v>1576.3587410161444</v>
      </c>
      <c r="C26" s="477">
        <f t="shared" ca="1" si="3"/>
        <v>0</v>
      </c>
      <c r="D26" s="477">
        <f t="shared" si="4"/>
        <v>2861.0902382746649</v>
      </c>
      <c r="E26" s="477">
        <f t="shared" si="5"/>
        <v>134.66305911381588</v>
      </c>
      <c r="F26" s="477">
        <f t="shared" si="6"/>
        <v>527.85729240447654</v>
      </c>
      <c r="G26" s="477">
        <f t="shared" si="7"/>
        <v>0</v>
      </c>
      <c r="H26" s="477">
        <f t="shared" si="8"/>
        <v>0</v>
      </c>
      <c r="I26" s="477">
        <f t="shared" si="9"/>
        <v>0</v>
      </c>
      <c r="J26" s="477">
        <f t="shared" si="10"/>
        <v>8.8062574490434482</v>
      </c>
      <c r="K26" s="477">
        <f t="shared" si="11"/>
        <v>0</v>
      </c>
      <c r="L26" s="477">
        <f t="shared" si="12"/>
        <v>0</v>
      </c>
      <c r="M26" s="477">
        <f t="shared" si="13"/>
        <v>0</v>
      </c>
      <c r="N26" s="477">
        <f t="shared" si="14"/>
        <v>0</v>
      </c>
      <c r="O26" s="477">
        <f t="shared" si="15"/>
        <v>0</v>
      </c>
      <c r="P26" s="478">
        <f t="shared" si="16"/>
        <v>0</v>
      </c>
      <c r="Q26" s="476">
        <f t="shared" ca="1" si="17"/>
        <v>5108.775588258145</v>
      </c>
    </row>
    <row r="27" spans="1:17" s="482" customFormat="1">
      <c r="A27" s="480" t="s">
        <v>561</v>
      </c>
      <c r="B27" s="780">
        <f t="shared" ca="1" si="2"/>
        <v>3.7846080927348433</v>
      </c>
      <c r="C27" s="481">
        <f t="shared" ca="1" si="3"/>
        <v>0</v>
      </c>
      <c r="D27" s="481">
        <f t="shared" si="4"/>
        <v>15.895001503367382</v>
      </c>
      <c r="E27" s="481">
        <f t="shared" si="5"/>
        <v>23.322549872230038</v>
      </c>
      <c r="F27" s="481">
        <f t="shared" si="6"/>
        <v>0</v>
      </c>
      <c r="G27" s="481">
        <f t="shared" si="7"/>
        <v>10333.256871556212</v>
      </c>
      <c r="H27" s="481">
        <f t="shared" si="8"/>
        <v>2191.8468361030805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12568.105867127626</v>
      </c>
    </row>
    <row r="28" spans="1:17">
      <c r="A28" s="476" t="s">
        <v>551</v>
      </c>
      <c r="B28" s="477">
        <f t="shared" ca="1" si="2"/>
        <v>0</v>
      </c>
      <c r="C28" s="477">
        <f t="shared" ca="1" si="3"/>
        <v>0</v>
      </c>
      <c r="D28" s="477">
        <f t="shared" si="4"/>
        <v>0</v>
      </c>
      <c r="E28" s="477">
        <f t="shared" si="5"/>
        <v>0</v>
      </c>
      <c r="F28" s="477">
        <f t="shared" si="6"/>
        <v>0</v>
      </c>
      <c r="G28" s="477">
        <f t="shared" si="7"/>
        <v>39.965142113061283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39.965142113061283</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136.33639336662938</v>
      </c>
      <c r="C32" s="477">
        <f t="shared" ca="1" si="3"/>
        <v>0</v>
      </c>
      <c r="D32" s="477">
        <f t="shared" si="4"/>
        <v>106.50766630086916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242.84405966749853</v>
      </c>
    </row>
    <row r="33" spans="1:17" s="486" customFormat="1">
      <c r="A33" s="1039" t="s">
        <v>555</v>
      </c>
      <c r="B33" s="987">
        <f ca="1">SUM(B22:B32)</f>
        <v>5868.2231521282456</v>
      </c>
      <c r="C33" s="987">
        <f t="shared" ref="C33:Q33" ca="1" si="18">SUM(C22:C32)</f>
        <v>0</v>
      </c>
      <c r="D33" s="987">
        <f t="shared" ca="1" si="18"/>
        <v>9961.1707010532355</v>
      </c>
      <c r="E33" s="987">
        <f t="shared" si="18"/>
        <v>1015.8591268936273</v>
      </c>
      <c r="F33" s="987">
        <f t="shared" ca="1" si="18"/>
        <v>8347.3786913495314</v>
      </c>
      <c r="G33" s="987">
        <f t="shared" si="18"/>
        <v>10373.222013669274</v>
      </c>
      <c r="H33" s="987">
        <f t="shared" si="18"/>
        <v>2191.8468361030805</v>
      </c>
      <c r="I33" s="987">
        <f t="shared" si="18"/>
        <v>0</v>
      </c>
      <c r="J33" s="987">
        <f t="shared" si="18"/>
        <v>795.14514650500018</v>
      </c>
      <c r="K33" s="987">
        <f t="shared" si="18"/>
        <v>0</v>
      </c>
      <c r="L33" s="987">
        <f t="shared" ca="1" si="18"/>
        <v>0</v>
      </c>
      <c r="M33" s="987">
        <f t="shared" si="18"/>
        <v>0</v>
      </c>
      <c r="N33" s="987">
        <f t="shared" ca="1" si="18"/>
        <v>0</v>
      </c>
      <c r="O33" s="987">
        <f t="shared" si="18"/>
        <v>0</v>
      </c>
      <c r="P33" s="987">
        <f t="shared" si="18"/>
        <v>0</v>
      </c>
      <c r="Q33" s="987">
        <f t="shared" ca="1" si="18"/>
        <v>38552.845667701986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3421.2217563246104</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43.649999999999991</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51.35294117647058</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3464.8717563246105</v>
      </c>
      <c r="C10" s="1060">
        <f>SUM(C4:C9)</f>
        <v>0</v>
      </c>
      <c r="D10" s="1060">
        <f t="shared" ref="D10:H10" si="0">SUM(D8:D9)</f>
        <v>0</v>
      </c>
      <c r="E10" s="1060">
        <f t="shared" si="0"/>
        <v>0</v>
      </c>
      <c r="F10" s="1060">
        <f t="shared" si="0"/>
        <v>0</v>
      </c>
      <c r="G10" s="1060">
        <f t="shared" si="0"/>
        <v>0</v>
      </c>
      <c r="H10" s="1060">
        <f t="shared" si="0"/>
        <v>0</v>
      </c>
      <c r="I10" s="1060">
        <f>SUM(I8:I9)</f>
        <v>0</v>
      </c>
      <c r="J10" s="1060">
        <f>SUM(J8:J9)</f>
        <v>51.35294117647058</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0.19549068033416228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62.357142857142847</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73.361344537815114</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62.357142857142847</v>
      </c>
      <c r="C20" s="1060">
        <f>SUM(C17:C19)</f>
        <v>0</v>
      </c>
      <c r="D20" s="1060">
        <f t="shared" ref="D20:H20" si="2">SUM(D17:D19)</f>
        <v>0</v>
      </c>
      <c r="E20" s="1060">
        <f t="shared" si="2"/>
        <v>0</v>
      </c>
      <c r="F20" s="1060">
        <f t="shared" si="2"/>
        <v>0</v>
      </c>
      <c r="G20" s="1060">
        <f t="shared" si="2"/>
        <v>0</v>
      </c>
      <c r="H20" s="1060">
        <f t="shared" si="2"/>
        <v>0</v>
      </c>
      <c r="I20" s="1060">
        <f>SUM(I17:I19)</f>
        <v>0</v>
      </c>
      <c r="J20" s="1060">
        <f>SUM(J17:J19)</f>
        <v>73.361344537815114</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0.19549068033416228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0.19549068033416228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0.19549068033416228</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37012</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2160</v>
      </c>
      <c r="C9" s="342">
        <v>2122</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2207.1999999999998</v>
      </c>
    </row>
    <row r="15" spans="1:6">
      <c r="A15" s="348" t="s">
        <v>184</v>
      </c>
      <c r="B15" s="334">
        <v>48</v>
      </c>
    </row>
    <row r="16" spans="1:6">
      <c r="A16" s="348" t="s">
        <v>6</v>
      </c>
      <c r="B16" s="334">
        <v>1552</v>
      </c>
    </row>
    <row r="17" spans="1:6">
      <c r="A17" s="348" t="s">
        <v>7</v>
      </c>
      <c r="B17" s="334">
        <v>873</v>
      </c>
    </row>
    <row r="18" spans="1:6">
      <c r="A18" s="348" t="s">
        <v>8</v>
      </c>
      <c r="B18" s="334">
        <v>1114</v>
      </c>
    </row>
    <row r="19" spans="1:6">
      <c r="A19" s="348" t="s">
        <v>9</v>
      </c>
      <c r="B19" s="334">
        <v>1161</v>
      </c>
    </row>
    <row r="20" spans="1:6">
      <c r="A20" s="348" t="s">
        <v>10</v>
      </c>
      <c r="B20" s="334">
        <v>808</v>
      </c>
    </row>
    <row r="21" spans="1:6">
      <c r="A21" s="348" t="s">
        <v>11</v>
      </c>
      <c r="B21" s="334">
        <v>37876</v>
      </c>
    </row>
    <row r="22" spans="1:6">
      <c r="A22" s="348" t="s">
        <v>12</v>
      </c>
      <c r="B22" s="334">
        <v>60738</v>
      </c>
    </row>
    <row r="23" spans="1:6">
      <c r="A23" s="348" t="s">
        <v>13</v>
      </c>
      <c r="B23" s="334">
        <v>1202</v>
      </c>
    </row>
    <row r="24" spans="1:6">
      <c r="A24" s="348" t="s">
        <v>14</v>
      </c>
      <c r="B24" s="334">
        <v>212</v>
      </c>
    </row>
    <row r="25" spans="1:6">
      <c r="A25" s="348" t="s">
        <v>15</v>
      </c>
      <c r="B25" s="334">
        <v>5623</v>
      </c>
    </row>
    <row r="26" spans="1:6">
      <c r="A26" s="348" t="s">
        <v>16</v>
      </c>
      <c r="B26" s="334">
        <v>71</v>
      </c>
    </row>
    <row r="27" spans="1:6">
      <c r="A27" s="348" t="s">
        <v>17</v>
      </c>
      <c r="B27" s="334">
        <v>348</v>
      </c>
    </row>
    <row r="28" spans="1:6" s="356" customFormat="1">
      <c r="A28" s="355" t="s">
        <v>18</v>
      </c>
      <c r="B28" s="355">
        <v>249336</v>
      </c>
    </row>
    <row r="29" spans="1:6">
      <c r="A29" s="355" t="s">
        <v>744</v>
      </c>
      <c r="B29" s="355">
        <v>153</v>
      </c>
      <c r="C29" s="356"/>
      <c r="D29" s="356"/>
      <c r="E29" s="356"/>
      <c r="F29" s="356"/>
    </row>
    <row r="30" spans="1:6">
      <c r="A30" s="341" t="s">
        <v>745</v>
      </c>
      <c r="B30" s="341">
        <v>21</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60</v>
      </c>
    </row>
    <row r="39" spans="1:6">
      <c r="A39" s="348" t="s">
        <v>30</v>
      </c>
      <c r="B39" s="348" t="s">
        <v>31</v>
      </c>
      <c r="C39" s="334">
        <v>973</v>
      </c>
      <c r="D39" s="334">
        <v>15455292.4011495</v>
      </c>
      <c r="E39" s="334">
        <v>1951</v>
      </c>
      <c r="F39" s="334">
        <v>8914725.6568945497</v>
      </c>
    </row>
    <row r="40" spans="1:6">
      <c r="A40" s="348" t="s">
        <v>30</v>
      </c>
      <c r="B40" s="348" t="s">
        <v>29</v>
      </c>
      <c r="C40" s="334">
        <v>0</v>
      </c>
      <c r="D40" s="334">
        <v>0</v>
      </c>
      <c r="E40" s="334">
        <v>0</v>
      </c>
      <c r="F40" s="334">
        <v>0</v>
      </c>
    </row>
    <row r="41" spans="1:6">
      <c r="A41" s="348" t="s">
        <v>32</v>
      </c>
      <c r="B41" s="348" t="s">
        <v>33</v>
      </c>
      <c r="C41" s="334">
        <v>37</v>
      </c>
      <c r="D41" s="334">
        <v>622653.78160325403</v>
      </c>
      <c r="E41" s="334">
        <v>81</v>
      </c>
      <c r="F41" s="334">
        <v>711012.84856880899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30955.328366876998</v>
      </c>
      <c r="E44" s="334">
        <v>11</v>
      </c>
      <c r="F44" s="334">
        <v>120044.746079783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26</v>
      </c>
      <c r="D48" s="334">
        <v>14712199.398624901</v>
      </c>
      <c r="E48" s="334">
        <v>39</v>
      </c>
      <c r="F48" s="334">
        <v>6948761.3427187903</v>
      </c>
    </row>
    <row r="49" spans="1:6">
      <c r="A49" s="348" t="s">
        <v>32</v>
      </c>
      <c r="B49" s="348" t="s">
        <v>40</v>
      </c>
      <c r="C49" s="334">
        <v>0</v>
      </c>
      <c r="D49" s="334">
        <v>0</v>
      </c>
      <c r="E49" s="334">
        <v>0</v>
      </c>
      <c r="F49" s="334">
        <v>0</v>
      </c>
    </row>
    <row r="50" spans="1:6">
      <c r="A50" s="348" t="s">
        <v>32</v>
      </c>
      <c r="B50" s="348" t="s">
        <v>41</v>
      </c>
      <c r="C50" s="334">
        <v>6</v>
      </c>
      <c r="D50" s="334">
        <v>336866.725069787</v>
      </c>
      <c r="E50" s="334">
        <v>11</v>
      </c>
      <c r="F50" s="334">
        <v>283781.52850440901</v>
      </c>
    </row>
    <row r="51" spans="1:6">
      <c r="A51" s="348" t="s">
        <v>42</v>
      </c>
      <c r="B51" s="348" t="s">
        <v>43</v>
      </c>
      <c r="C51" s="334">
        <v>6</v>
      </c>
      <c r="D51" s="334">
        <v>17125485.3185982</v>
      </c>
      <c r="E51" s="334">
        <v>136</v>
      </c>
      <c r="F51" s="334">
        <v>4350275.4555785796</v>
      </c>
    </row>
    <row r="52" spans="1:6">
      <c r="A52" s="348" t="s">
        <v>42</v>
      </c>
      <c r="B52" s="348" t="s">
        <v>29</v>
      </c>
      <c r="C52" s="334">
        <v>2</v>
      </c>
      <c r="D52" s="334">
        <v>22080.021712139798</v>
      </c>
      <c r="E52" s="334">
        <v>4</v>
      </c>
      <c r="F52" s="334">
        <v>78384.7111269616</v>
      </c>
    </row>
    <row r="53" spans="1:6">
      <c r="A53" s="348" t="s">
        <v>44</v>
      </c>
      <c r="B53" s="348" t="s">
        <v>45</v>
      </c>
      <c r="C53" s="334">
        <v>24</v>
      </c>
      <c r="D53" s="334">
        <v>527265.67475677805</v>
      </c>
      <c r="E53" s="334">
        <v>66</v>
      </c>
      <c r="F53" s="334">
        <v>697406.10208927898</v>
      </c>
    </row>
    <row r="54" spans="1:6">
      <c r="A54" s="348" t="s">
        <v>46</v>
      </c>
      <c r="B54" s="348" t="s">
        <v>47</v>
      </c>
      <c r="C54" s="334">
        <v>0</v>
      </c>
      <c r="D54" s="334">
        <v>0</v>
      </c>
      <c r="E54" s="334">
        <v>1</v>
      </c>
      <c r="F54" s="334">
        <v>343611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v>
      </c>
      <c r="D57" s="334">
        <v>696768.11131666298</v>
      </c>
      <c r="E57" s="334">
        <v>21</v>
      </c>
      <c r="F57" s="334">
        <v>492425.89754328999</v>
      </c>
    </row>
    <row r="58" spans="1:6">
      <c r="A58" s="348" t="s">
        <v>49</v>
      </c>
      <c r="B58" s="348" t="s">
        <v>51</v>
      </c>
      <c r="C58" s="334">
        <v>0</v>
      </c>
      <c r="D58" s="334">
        <v>0</v>
      </c>
      <c r="E58" s="334">
        <v>7</v>
      </c>
      <c r="F58" s="334">
        <v>41803.197317505699</v>
      </c>
    </row>
    <row r="59" spans="1:6">
      <c r="A59" s="348" t="s">
        <v>49</v>
      </c>
      <c r="B59" s="348" t="s">
        <v>52</v>
      </c>
      <c r="C59" s="334">
        <v>23</v>
      </c>
      <c r="D59" s="334">
        <v>810364.752041928</v>
      </c>
      <c r="E59" s="334">
        <v>76</v>
      </c>
      <c r="F59" s="334">
        <v>1536953.9355611501</v>
      </c>
    </row>
    <row r="60" spans="1:6">
      <c r="A60" s="348" t="s">
        <v>49</v>
      </c>
      <c r="B60" s="348" t="s">
        <v>53</v>
      </c>
      <c r="C60" s="334">
        <v>3</v>
      </c>
      <c r="D60" s="334">
        <v>140810.216936563</v>
      </c>
      <c r="E60" s="334">
        <v>15</v>
      </c>
      <c r="F60" s="334">
        <v>240906.924182824</v>
      </c>
    </row>
    <row r="61" spans="1:6">
      <c r="A61" s="348" t="s">
        <v>49</v>
      </c>
      <c r="B61" s="348" t="s">
        <v>54</v>
      </c>
      <c r="C61" s="334">
        <v>25</v>
      </c>
      <c r="D61" s="334">
        <v>1854765.67126675</v>
      </c>
      <c r="E61" s="334">
        <v>61</v>
      </c>
      <c r="F61" s="334">
        <v>1242215.7636551701</v>
      </c>
    </row>
    <row r="62" spans="1:6">
      <c r="A62" s="348" t="s">
        <v>49</v>
      </c>
      <c r="B62" s="348" t="s">
        <v>55</v>
      </c>
      <c r="C62" s="334">
        <v>0</v>
      </c>
      <c r="D62" s="334">
        <v>0</v>
      </c>
      <c r="E62" s="334">
        <v>0</v>
      </c>
      <c r="F62" s="334">
        <v>0</v>
      </c>
    </row>
    <row r="63" spans="1:6">
      <c r="A63" s="348" t="s">
        <v>49</v>
      </c>
      <c r="B63" s="348" t="s">
        <v>29</v>
      </c>
      <c r="C63" s="334">
        <v>59</v>
      </c>
      <c r="D63" s="334">
        <v>2190397.3440747699</v>
      </c>
      <c r="E63" s="334">
        <v>80</v>
      </c>
      <c r="F63" s="334">
        <v>2150874.3357295599</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3</v>
      </c>
      <c r="F66" s="334">
        <v>14734.864779678999</v>
      </c>
    </row>
    <row r="67" spans="1:6">
      <c r="A67" s="355" t="s">
        <v>56</v>
      </c>
      <c r="B67" s="355" t="s">
        <v>59</v>
      </c>
      <c r="C67" s="334">
        <v>0</v>
      </c>
      <c r="D67" s="334">
        <v>0</v>
      </c>
      <c r="E67" s="334">
        <v>0</v>
      </c>
      <c r="F67" s="334">
        <v>0</v>
      </c>
    </row>
    <row r="68" spans="1:6">
      <c r="A68" s="341" t="s">
        <v>56</v>
      </c>
      <c r="B68" s="341" t="s">
        <v>60</v>
      </c>
      <c r="C68" s="334">
        <v>4</v>
      </c>
      <c r="D68" s="334">
        <v>117876.04508934201</v>
      </c>
      <c r="E68" s="334">
        <v>6</v>
      </c>
      <c r="F68" s="334">
        <v>40845.032077225304</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26748822</v>
      </c>
      <c r="E73" s="475">
        <v>25099801.664185368</v>
      </c>
    </row>
    <row r="74" spans="1:6">
      <c r="A74" s="348" t="s">
        <v>64</v>
      </c>
      <c r="B74" s="348" t="s">
        <v>657</v>
      </c>
      <c r="C74" s="1295" t="s">
        <v>659</v>
      </c>
      <c r="D74" s="475">
        <v>4231254</v>
      </c>
      <c r="E74" s="475">
        <v>3752625.1657909928</v>
      </c>
    </row>
    <row r="75" spans="1:6">
      <c r="A75" s="348" t="s">
        <v>65</v>
      </c>
      <c r="B75" s="348" t="s">
        <v>656</v>
      </c>
      <c r="C75" s="1295" t="s">
        <v>660</v>
      </c>
      <c r="D75" s="475">
        <v>22461572</v>
      </c>
      <c r="E75" s="475">
        <v>19442229.297360945</v>
      </c>
    </row>
    <row r="76" spans="1:6">
      <c r="A76" s="348" t="s">
        <v>65</v>
      </c>
      <c r="B76" s="348" t="s">
        <v>657</v>
      </c>
      <c r="C76" s="1295" t="s">
        <v>661</v>
      </c>
      <c r="D76" s="475">
        <v>645406</v>
      </c>
      <c r="E76" s="475">
        <v>494575.4286942617</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42902</v>
      </c>
      <c r="C83" s="475">
        <v>42866.270991048012</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1845.3747159490272</v>
      </c>
    </row>
    <row r="92" spans="1:6">
      <c r="A92" s="341" t="s">
        <v>69</v>
      </c>
      <c r="B92" s="342">
        <v>1575.847040375583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471</v>
      </c>
    </row>
    <row r="98" spans="1:6">
      <c r="A98" s="348" t="s">
        <v>72</v>
      </c>
      <c r="B98" s="334">
        <v>1</v>
      </c>
    </row>
    <row r="99" spans="1:6">
      <c r="A99" s="348" t="s">
        <v>73</v>
      </c>
      <c r="B99" s="334">
        <v>99</v>
      </c>
    </row>
    <row r="100" spans="1:6">
      <c r="A100" s="348" t="s">
        <v>74</v>
      </c>
      <c r="B100" s="334">
        <v>267</v>
      </c>
    </row>
    <row r="101" spans="1:6">
      <c r="A101" s="348" t="s">
        <v>75</v>
      </c>
      <c r="B101" s="334">
        <v>60</v>
      </c>
    </row>
    <row r="102" spans="1:6">
      <c r="A102" s="348" t="s">
        <v>76</v>
      </c>
      <c r="B102" s="334">
        <v>41</v>
      </c>
    </row>
    <row r="103" spans="1:6">
      <c r="A103" s="348" t="s">
        <v>77</v>
      </c>
      <c r="B103" s="334">
        <v>95</v>
      </c>
    </row>
    <row r="104" spans="1:6">
      <c r="A104" s="348" t="s">
        <v>78</v>
      </c>
      <c r="B104" s="334">
        <v>831</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17</v>
      </c>
      <c r="C123" s="334">
        <v>45</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103</v>
      </c>
    </row>
    <row r="130" spans="1:6">
      <c r="A130" s="348" t="s">
        <v>295</v>
      </c>
      <c r="B130" s="334">
        <v>2</v>
      </c>
    </row>
    <row r="131" spans="1:6">
      <c r="A131" s="348" t="s">
        <v>296</v>
      </c>
      <c r="B131" s="334">
        <v>2</v>
      </c>
    </row>
    <row r="132" spans="1:6">
      <c r="A132" s="341" t="s">
        <v>297</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30017.91769355649</v>
      </c>
      <c r="C3" s="43" t="s">
        <v>170</v>
      </c>
      <c r="D3" s="43"/>
      <c r="E3" s="154"/>
      <c r="F3" s="43"/>
      <c r="G3" s="43"/>
      <c r="H3" s="43"/>
      <c r="I3" s="43"/>
      <c r="J3" s="43"/>
      <c r="K3" s="96"/>
    </row>
    <row r="4" spans="1:11">
      <c r="A4" s="383" t="s">
        <v>171</v>
      </c>
      <c r="B4" s="49">
        <f>IF(ISERROR('SEAP template'!B78+'SEAP template'!C78),0,'SEAP template'!B78+'SEAP template'!C78)</f>
        <v>3464.8717563246105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0.19549068033416228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343.61099999999999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343.61099999999999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0.19549068033416228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67.172748160301836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8914.7256568945504</v>
      </c>
      <c r="C5" s="17">
        <f>IF(ISERROR('Eigen informatie GS &amp; warmtenet'!B57),0,'Eigen informatie GS &amp; warmtenet'!B57)</f>
        <v>0</v>
      </c>
      <c r="D5" s="30">
        <f>(SUM(HH_hh_gas_kWh,HH_rest_gas_kWh)/1000)*0.902</f>
        <v>13940.67374583685</v>
      </c>
      <c r="E5" s="17">
        <f>B46*B57</f>
        <v>3562.5048905267986</v>
      </c>
      <c r="F5" s="17">
        <f>B51*B62</f>
        <v>9816.8382944544264</v>
      </c>
      <c r="G5" s="18"/>
      <c r="H5" s="17"/>
      <c r="I5" s="17"/>
      <c r="J5" s="17">
        <f>B50*B61+C50*C61</f>
        <v>1579.6626481458968</v>
      </c>
      <c r="K5" s="17"/>
      <c r="L5" s="17"/>
      <c r="M5" s="17"/>
      <c r="N5" s="17">
        <f>B48*B59+C48*C59</f>
        <v>7358.0747094384615</v>
      </c>
      <c r="O5" s="17">
        <f>B69*B70*B71</f>
        <v>231.37333333333333</v>
      </c>
      <c r="P5" s="17">
        <f>B77*B78*B79/1000-B77*B78*B79/1000/B80</f>
        <v>743.6</v>
      </c>
    </row>
    <row r="6" spans="1:16">
      <c r="A6" s="16" t="s">
        <v>621</v>
      </c>
      <c r="B6" s="788">
        <f>kWh_PV_kleiner_dan_10kW</f>
        <v>1845.3747159490272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10760.100372843577</v>
      </c>
      <c r="C8" s="21">
        <f>C5</f>
        <v>0</v>
      </c>
      <c r="D8" s="21">
        <f>D5</f>
        <v>13940.67374583685</v>
      </c>
      <c r="E8" s="21">
        <f>E5</f>
        <v>3562.5048905267986</v>
      </c>
      <c r="F8" s="21">
        <f>F5</f>
        <v>9816.8382944544264</v>
      </c>
      <c r="G8" s="21"/>
      <c r="H8" s="21"/>
      <c r="I8" s="21"/>
      <c r="J8" s="21">
        <f>J5</f>
        <v>1579.6626481458968</v>
      </c>
      <c r="K8" s="21"/>
      <c r="L8" s="21">
        <f>L5</f>
        <v>0</v>
      </c>
      <c r="M8" s="21">
        <f>M5</f>
        <v>0</v>
      </c>
      <c r="N8" s="21">
        <f>N5</f>
        <v>7358.0747094384615</v>
      </c>
      <c r="O8" s="21">
        <f>O5</f>
        <v>231.37333333333333</v>
      </c>
      <c r="P8" s="21">
        <f>P5</f>
        <v>743.6</v>
      </c>
    </row>
    <row r="9" spans="1:16">
      <c r="B9" s="19"/>
      <c r="C9" s="19"/>
      <c r="D9" s="258"/>
      <c r="E9" s="19"/>
      <c r="F9" s="19"/>
      <c r="G9" s="19"/>
      <c r="H9" s="19"/>
      <c r="I9" s="19"/>
      <c r="J9" s="19"/>
      <c r="K9" s="19"/>
      <c r="L9" s="19"/>
      <c r="M9" s="19"/>
      <c r="N9" s="19"/>
      <c r="O9" s="19"/>
      <c r="P9" s="19"/>
    </row>
    <row r="10" spans="1:16">
      <c r="A10" s="24" t="s">
        <v>214</v>
      </c>
      <c r="B10" s="25">
        <f ca="1">'EF ele_warmte'!B12</f>
        <v>0.19549068033416228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2103.4993423510641</v>
      </c>
      <c r="C12" s="23">
        <f ca="1">C10*C8</f>
        <v>0</v>
      </c>
      <c r="D12" s="23">
        <f>D8*D10</f>
        <v>2816.0160966590438</v>
      </c>
      <c r="E12" s="23">
        <f>E10*E8</f>
        <v>808.68861014958327</v>
      </c>
      <c r="F12" s="23">
        <f>F10*F8</f>
        <v>2621.0958246193318</v>
      </c>
      <c r="G12" s="23"/>
      <c r="H12" s="23"/>
      <c r="I12" s="23"/>
      <c r="J12" s="23">
        <f>J10*J8</f>
        <v>559.20057744364749</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471</v>
      </c>
      <c r="C18" s="166" t="s">
        <v>111</v>
      </c>
      <c r="D18" s="228"/>
      <c r="E18" s="15"/>
    </row>
    <row r="19" spans="1:7">
      <c r="A19" s="171" t="s">
        <v>72</v>
      </c>
      <c r="B19" s="37">
        <f>aantalw2001_ander</f>
        <v>1</v>
      </c>
      <c r="C19" s="166" t="s">
        <v>111</v>
      </c>
      <c r="D19" s="229"/>
      <c r="E19" s="15"/>
    </row>
    <row r="20" spans="1:7">
      <c r="A20" s="171" t="s">
        <v>73</v>
      </c>
      <c r="B20" s="37">
        <f>aantalw2001_propaan</f>
        <v>99</v>
      </c>
      <c r="C20" s="167">
        <f>IF(ISERROR(B20/SUM($B$20,$B$21,$B$22)*100),0,B20/SUM($B$20,$B$21,$B$22)*100)</f>
        <v>23.239436619718308</v>
      </c>
      <c r="D20" s="229"/>
      <c r="E20" s="15"/>
    </row>
    <row r="21" spans="1:7">
      <c r="A21" s="171" t="s">
        <v>74</v>
      </c>
      <c r="B21" s="37">
        <f>aantalw2001_elektriciteit</f>
        <v>267</v>
      </c>
      <c r="C21" s="167">
        <f>IF(ISERROR(B21/SUM($B$20,$B$21,$B$22)*100),0,B21/SUM($B$20,$B$21,$B$22)*100)</f>
        <v>62.676056338028175</v>
      </c>
      <c r="D21" s="229"/>
      <c r="E21" s="15"/>
    </row>
    <row r="22" spans="1:7">
      <c r="A22" s="171" t="s">
        <v>75</v>
      </c>
      <c r="B22" s="37">
        <f>aantalw2001_hout</f>
        <v>60</v>
      </c>
      <c r="C22" s="167">
        <f>IF(ISERROR(B22/SUM($B$20,$B$21,$B$22)*100),0,B22/SUM($B$20,$B$21,$B$22)*100)</f>
        <v>14.084507042253522</v>
      </c>
      <c r="D22" s="229"/>
      <c r="E22" s="15"/>
    </row>
    <row r="23" spans="1:7">
      <c r="A23" s="171" t="s">
        <v>76</v>
      </c>
      <c r="B23" s="37">
        <f>aantalw2001_niet_gespec</f>
        <v>41</v>
      </c>
      <c r="C23" s="166" t="s">
        <v>111</v>
      </c>
      <c r="D23" s="228"/>
      <c r="E23" s="15"/>
    </row>
    <row r="24" spans="1:7">
      <c r="A24" s="171" t="s">
        <v>77</v>
      </c>
      <c r="B24" s="37">
        <f>aantalw2001_steenkool</f>
        <v>95</v>
      </c>
      <c r="C24" s="166" t="s">
        <v>111</v>
      </c>
      <c r="D24" s="229"/>
      <c r="E24" s="15"/>
    </row>
    <row r="25" spans="1:7">
      <c r="A25" s="171" t="s">
        <v>78</v>
      </c>
      <c r="B25" s="37">
        <f>aantalw2001_stookolie</f>
        <v>831</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793</v>
      </c>
      <c r="B28" s="37">
        <f>aantalHuishoudens2011</f>
        <v>2160</v>
      </c>
      <c r="C28" s="36"/>
      <c r="D28" s="228"/>
    </row>
    <row r="29" spans="1:7" s="15" customFormat="1">
      <c r="A29" s="230" t="s">
        <v>794</v>
      </c>
      <c r="B29" s="37">
        <f>SUM(HH_hh_gas_aantal,HH_rest_gas_aantal)</f>
        <v>973</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973</v>
      </c>
      <c r="C32" s="167">
        <f>IF(ISERROR(B32/SUM($B$32,$B$34,$B$35,$B$36,$B$38,$B$39)*100),0,B32/SUM($B$32,$B$34,$B$35,$B$36,$B$38,$B$39)*100)</f>
        <v>45.874587458745886</v>
      </c>
      <c r="D32" s="233"/>
      <c r="G32" s="15"/>
    </row>
    <row r="33" spans="1:7">
      <c r="A33" s="171" t="s">
        <v>72</v>
      </c>
      <c r="B33" s="34" t="s">
        <v>111</v>
      </c>
      <c r="C33" s="167"/>
      <c r="D33" s="233"/>
      <c r="G33" s="15"/>
    </row>
    <row r="34" spans="1:7">
      <c r="A34" s="171" t="s">
        <v>73</v>
      </c>
      <c r="B34" s="33">
        <f>IF((($B$28-$B$32-$B$39-$B$77-$B$38)*C20/100)&lt;0,0,($B$28-$B$32-$B$39-$B$77-$B$38)*C20/100)</f>
        <v>168.25352112676055</v>
      </c>
      <c r="C34" s="167">
        <f>IF(ISERROR(B34/SUM($B$32,$B$34,$B$35,$B$36,$B$38,$B$39)*100),0,B34/SUM($B$32,$B$34,$B$35,$B$36,$B$38,$B$39)*100)</f>
        <v>7.9327449847600455</v>
      </c>
      <c r="D34" s="233"/>
      <c r="G34" s="15"/>
    </row>
    <row r="35" spans="1:7">
      <c r="A35" s="171" t="s">
        <v>74</v>
      </c>
      <c r="B35" s="33">
        <f>IF((($B$28-$B$32-$B$39-$B$77-$B$38)*C21/100)&lt;0,0,($B$28-$B$32-$B$39-$B$77-$B$38)*C21/100)</f>
        <v>453.77464788732397</v>
      </c>
      <c r="C35" s="167">
        <f>IF(ISERROR(B35/SUM($B$32,$B$34,$B$35,$B$36,$B$38,$B$39)*100),0,B35/SUM($B$32,$B$34,$B$35,$B$36,$B$38,$B$39)*100)</f>
        <v>21.394372837686188</v>
      </c>
      <c r="D35" s="233"/>
      <c r="G35" s="15"/>
    </row>
    <row r="36" spans="1:7">
      <c r="A36" s="171" t="s">
        <v>75</v>
      </c>
      <c r="B36" s="33">
        <f>IF((($B$28-$B$32-$B$39-$B$77-$B$38)*C22/100)&lt;0,0,($B$28-$B$32-$B$39-$B$77-$B$38)*C22/100)</f>
        <v>101.97183098591549</v>
      </c>
      <c r="C36" s="167">
        <f>IF(ISERROR(B36/SUM($B$32,$B$34,$B$35,$B$36,$B$38,$B$39)*100),0,B36/SUM($B$32,$B$34,$B$35,$B$36,$B$38,$B$39)*100)</f>
        <v>4.8077242331879075</v>
      </c>
      <c r="D36" s="233"/>
      <c r="G36" s="15"/>
    </row>
    <row r="37" spans="1:7">
      <c r="A37" s="171" t="s">
        <v>76</v>
      </c>
      <c r="B37" s="34" t="s">
        <v>111</v>
      </c>
      <c r="C37" s="167"/>
      <c r="D37" s="173"/>
      <c r="G37" s="15"/>
    </row>
    <row r="38" spans="1:7">
      <c r="A38" s="171" t="s">
        <v>77</v>
      </c>
      <c r="B38" s="33">
        <f>IF((B24-(B29-B18)*0.1)&lt;0,0,B24-(B29-B18)*0.1)</f>
        <v>44.8</v>
      </c>
      <c r="C38" s="167">
        <f>IF(ISERROR(B38/SUM($B$32,$B$34,$B$35,$B$36,$B$38,$B$39)*100),0,B38/SUM($B$32,$B$34,$B$35,$B$36,$B$38,$B$39)*100)</f>
        <v>2.1122112211221125</v>
      </c>
      <c r="D38" s="234"/>
      <c r="G38" s="15"/>
    </row>
    <row r="39" spans="1:7">
      <c r="A39" s="171" t="s">
        <v>78</v>
      </c>
      <c r="B39" s="33">
        <f>IF((B25-(B29-B18))&lt;0,0,B25-(B29-B18)*0.9)</f>
        <v>379.2</v>
      </c>
      <c r="C39" s="167">
        <f>IF(ISERROR(B39/SUM($B$32,$B$34,$B$35,$B$36,$B$38,$B$39)*100),0,B39/SUM($B$32,$B$34,$B$35,$B$36,$B$38,$B$39)*100)</f>
        <v>17.878359264497881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973</v>
      </c>
      <c r="C44" s="34" t="s">
        <v>111</v>
      </c>
      <c r="D44" s="174"/>
    </row>
    <row r="45" spans="1:7">
      <c r="A45" s="171" t="s">
        <v>72</v>
      </c>
      <c r="B45" s="33" t="str">
        <f t="shared" si="0"/>
        <v>-</v>
      </c>
      <c r="C45" s="34" t="s">
        <v>111</v>
      </c>
      <c r="D45" s="174"/>
    </row>
    <row r="46" spans="1:7">
      <c r="A46" s="171" t="s">
        <v>73</v>
      </c>
      <c r="B46" s="33">
        <f t="shared" si="0"/>
        <v>168.25352112676055</v>
      </c>
      <c r="C46" s="34" t="s">
        <v>111</v>
      </c>
      <c r="D46" s="174"/>
    </row>
    <row r="47" spans="1:7">
      <c r="A47" s="171" t="s">
        <v>74</v>
      </c>
      <c r="B47" s="33">
        <f t="shared" si="0"/>
        <v>453.77464788732397</v>
      </c>
      <c r="C47" s="34" t="s">
        <v>111</v>
      </c>
      <c r="D47" s="174"/>
    </row>
    <row r="48" spans="1:7">
      <c r="A48" s="171" t="s">
        <v>75</v>
      </c>
      <c r="B48" s="33">
        <f t="shared" si="0"/>
        <v>101.97183098591549</v>
      </c>
      <c r="C48" s="33">
        <f>B48*10</f>
        <v>1019.7183098591549</v>
      </c>
      <c r="D48" s="234"/>
    </row>
    <row r="49" spans="1:6">
      <c r="A49" s="171" t="s">
        <v>76</v>
      </c>
      <c r="B49" s="33" t="str">
        <f t="shared" si="0"/>
        <v>-</v>
      </c>
      <c r="C49" s="34" t="s">
        <v>111</v>
      </c>
      <c r="D49" s="234"/>
    </row>
    <row r="50" spans="1:6">
      <c r="A50" s="171" t="s">
        <v>77</v>
      </c>
      <c r="B50" s="33">
        <f t="shared" si="0"/>
        <v>44.8</v>
      </c>
      <c r="C50" s="33">
        <f>B50*2</f>
        <v>89.6</v>
      </c>
      <c r="D50" s="234"/>
    </row>
    <row r="51" spans="1:6">
      <c r="A51" s="171" t="s">
        <v>78</v>
      </c>
      <c r="B51" s="33">
        <f t="shared" si="0"/>
        <v>379.2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5705.1800539894994</v>
      </c>
      <c r="C5" s="17">
        <f>IF(ISERROR('Eigen informatie GS &amp; warmtenet'!B58),0,'Eigen informatie GS &amp; warmtenet'!B58)</f>
        <v>0</v>
      </c>
      <c r="D5" s="30">
        <f>SUM(D6:D12)</f>
        <v>5135.1816982642804</v>
      </c>
      <c r="E5" s="17">
        <f>SUM(E6:E12)</f>
        <v>86.501753469245216</v>
      </c>
      <c r="F5" s="17">
        <f>SUM(F6:F12)</f>
        <v>1020.1997630789672</v>
      </c>
      <c r="G5" s="18"/>
      <c r="H5" s="17"/>
      <c r="I5" s="17"/>
      <c r="J5" s="17">
        <f>SUM(J6:J12)</f>
        <v>1.5897032463992919E-2</v>
      </c>
      <c r="K5" s="17"/>
      <c r="L5" s="17"/>
      <c r="M5" s="17"/>
      <c r="N5" s="17">
        <f>SUM(N6:N12)</f>
        <v>630.45949395365676</v>
      </c>
      <c r="O5" s="17">
        <f>B38*B39*B40</f>
        <v>3.1266666666666669</v>
      </c>
      <c r="P5" s="17">
        <f>B46*B47*B48/1000-B46*B47*B48/1000/B49</f>
        <v>38.133333333333333</v>
      </c>
      <c r="R5" s="32"/>
    </row>
    <row r="6" spans="1:18">
      <c r="A6" s="32" t="s">
        <v>54</v>
      </c>
      <c r="B6" s="37">
        <f>B26</f>
        <v>1242.2157636551701</v>
      </c>
      <c r="C6" s="33"/>
      <c r="D6" s="37">
        <f>IF(ISERROR(TER_kantoor_gas_kWh/1000),0,TER_kantoor_gas_kWh/1000)*0.902</f>
        <v>1672.9986354826085</v>
      </c>
      <c r="E6" s="33">
        <f>$C$26*'E Balans VL '!I12/100/3.6*1000000</f>
        <v>7.7857952521002607E-3</v>
      </c>
      <c r="F6" s="33">
        <f>$C$26*('E Balans VL '!L12+'E Balans VL '!N12)/100/3.6*1000000</f>
        <v>186.67031845843414</v>
      </c>
      <c r="G6" s="34"/>
      <c r="H6" s="33"/>
      <c r="I6" s="33"/>
      <c r="J6" s="33">
        <f>$C$26*('E Balans VL '!D12+'E Balans VL '!E12)/100/3.6*1000000</f>
        <v>0</v>
      </c>
      <c r="K6" s="33"/>
      <c r="L6" s="33"/>
      <c r="M6" s="33"/>
      <c r="N6" s="33">
        <f>$C$26*'E Balans VL '!Y12/100/3.6*1000000</f>
        <v>1.1879951992366704</v>
      </c>
      <c r="O6" s="33"/>
      <c r="P6" s="33"/>
      <c r="R6" s="32"/>
    </row>
    <row r="7" spans="1:18">
      <c r="A7" s="32" t="s">
        <v>53</v>
      </c>
      <c r="B7" s="37">
        <f t="shared" ref="B7:B12" si="0">B27</f>
        <v>240.90692418282401</v>
      </c>
      <c r="C7" s="33"/>
      <c r="D7" s="37">
        <f>IF(ISERROR(TER_horeca_gas_kWh/1000),0,TER_horeca_gas_kWh/1000)*0.902</f>
        <v>127.01081567677983</v>
      </c>
      <c r="E7" s="33">
        <f>$C$27*'E Balans VL '!I9/100/3.6*1000000</f>
        <v>3.449747026864721</v>
      </c>
      <c r="F7" s="33">
        <f>$C$27*('E Balans VL '!L9+'E Balans VL '!N9)/100/3.6*1000000</f>
        <v>30.506762018009095</v>
      </c>
      <c r="G7" s="34"/>
      <c r="H7" s="33"/>
      <c r="I7" s="33"/>
      <c r="J7" s="33">
        <f>$C$27*('E Balans VL '!D9+'E Balans VL '!E9)/100/3.6*1000000</f>
        <v>0</v>
      </c>
      <c r="K7" s="33"/>
      <c r="L7" s="33"/>
      <c r="M7" s="33"/>
      <c r="N7" s="33">
        <f>$C$27*'E Balans VL '!Y9/100/3.6*1000000</f>
        <v>6.9255429160824639E-2</v>
      </c>
      <c r="O7" s="33"/>
      <c r="P7" s="33"/>
      <c r="R7" s="32"/>
    </row>
    <row r="8" spans="1:18">
      <c r="A8" s="6" t="s">
        <v>52</v>
      </c>
      <c r="B8" s="37">
        <f t="shared" si="0"/>
        <v>1536.95393556115</v>
      </c>
      <c r="C8" s="33"/>
      <c r="D8" s="37">
        <f>IF(ISERROR(TER_handel_gas_kWh/1000),0,TER_handel_gas_kWh/1000)*0.902</f>
        <v>730.94900634181909</v>
      </c>
      <c r="E8" s="33">
        <f>$C$28*'E Balans VL '!I13/100/3.6*1000000</f>
        <v>55.745129714134755</v>
      </c>
      <c r="F8" s="33">
        <f>$C$28*('E Balans VL '!L13+'E Balans VL '!N13)/100/3.6*1000000</f>
        <v>296.03289063711736</v>
      </c>
      <c r="G8" s="34"/>
      <c r="H8" s="33"/>
      <c r="I8" s="33"/>
      <c r="J8" s="33">
        <f>$C$28*('E Balans VL '!D13+'E Balans VL '!E13)/100/3.6*1000000</f>
        <v>0</v>
      </c>
      <c r="K8" s="33"/>
      <c r="L8" s="33"/>
      <c r="M8" s="33"/>
      <c r="N8" s="33">
        <f>$C$28*'E Balans VL '!Y13/100/3.6*1000000</f>
        <v>2.1290348380810133</v>
      </c>
      <c r="O8" s="33"/>
      <c r="P8" s="33"/>
      <c r="R8" s="32"/>
    </row>
    <row r="9" spans="1:18">
      <c r="A9" s="32" t="s">
        <v>51</v>
      </c>
      <c r="B9" s="37">
        <f t="shared" si="0"/>
        <v>41.803197317505699</v>
      </c>
      <c r="C9" s="33"/>
      <c r="D9" s="37">
        <f>IF(ISERROR(TER_gezond_gas_kWh/1000),0,TER_gezond_gas_kWh/1000)*0.902</f>
        <v>0</v>
      </c>
      <c r="E9" s="33">
        <f>$C$29*'E Balans VL '!I10/100/3.6*1000000</f>
        <v>2.6172928840850181E-3</v>
      </c>
      <c r="F9" s="33">
        <f>$C$29*('E Balans VL '!L10+'E Balans VL '!N10)/100/3.6*1000000</f>
        <v>6.2099922401299281</v>
      </c>
      <c r="G9" s="34"/>
      <c r="H9" s="33"/>
      <c r="I9" s="33"/>
      <c r="J9" s="33">
        <f>$C$29*('E Balans VL '!D10+'E Balans VL '!E10)/100/3.6*1000000</f>
        <v>0</v>
      </c>
      <c r="K9" s="33"/>
      <c r="L9" s="33"/>
      <c r="M9" s="33"/>
      <c r="N9" s="33">
        <f>$C$29*'E Balans VL '!Y10/100/3.6*1000000</f>
        <v>0.64661588977092099</v>
      </c>
      <c r="O9" s="33"/>
      <c r="P9" s="33"/>
      <c r="R9" s="32"/>
    </row>
    <row r="10" spans="1:18">
      <c r="A10" s="32" t="s">
        <v>50</v>
      </c>
      <c r="B10" s="37">
        <f t="shared" si="0"/>
        <v>492.42589754328998</v>
      </c>
      <c r="C10" s="33"/>
      <c r="D10" s="37">
        <f>IF(ISERROR(TER_ander_gas_kWh/1000),0,TER_ander_gas_kWh/1000)*0.902</f>
        <v>628.48483640763004</v>
      </c>
      <c r="E10" s="33">
        <f>$C$30*'E Balans VL '!I14/100/3.6*1000000</f>
        <v>0.58695407354328033</v>
      </c>
      <c r="F10" s="33">
        <f>$C$30*('E Balans VL '!L14+'E Balans VL '!N14)/100/3.6*1000000</f>
        <v>128.84050633329943</v>
      </c>
      <c r="G10" s="34"/>
      <c r="H10" s="33"/>
      <c r="I10" s="33"/>
      <c r="J10" s="33">
        <f>$C$30*('E Balans VL '!D14+'E Balans VL '!E14)/100/3.6*1000000</f>
        <v>1.0688635979444614E-2</v>
      </c>
      <c r="K10" s="33"/>
      <c r="L10" s="33"/>
      <c r="M10" s="33"/>
      <c r="N10" s="33">
        <f>$C$30*'E Balans VL '!Y14/100/3.6*1000000</f>
        <v>418.15602270165761</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2150.8743357295598</v>
      </c>
      <c r="C12" s="33"/>
      <c r="D12" s="37">
        <f>IF(ISERROR(TER_rest_gas_kWh/1000),0,TER_rest_gas_kWh/1000)*0.902</f>
        <v>1975.7384043554425</v>
      </c>
      <c r="E12" s="33">
        <f>$C$32*'E Balans VL '!I8/100/3.6*1000000</f>
        <v>26.709519566566275</v>
      </c>
      <c r="F12" s="33">
        <f>$C$32*('E Balans VL '!L8+'E Balans VL '!N8)/100/3.6*1000000</f>
        <v>371.93929339197706</v>
      </c>
      <c r="G12" s="34"/>
      <c r="H12" s="33"/>
      <c r="I12" s="33"/>
      <c r="J12" s="33">
        <f>$C$32*('E Balans VL '!D8+'E Balans VL '!E8)/100/3.6*1000000</f>
        <v>5.2083964845483057E-3</v>
      </c>
      <c r="K12" s="33"/>
      <c r="L12" s="33"/>
      <c r="M12" s="33"/>
      <c r="N12" s="33">
        <f>$C$32*'E Balans VL '!Y8/100/3.6*1000000</f>
        <v>208.27056989574967</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5705.1800539894994</v>
      </c>
      <c r="C16" s="21">
        <f t="shared" ca="1" si="1"/>
        <v>0</v>
      </c>
      <c r="D16" s="21">
        <f t="shared" ca="1" si="1"/>
        <v>5135.1816982642804</v>
      </c>
      <c r="E16" s="21">
        <f t="shared" si="1"/>
        <v>86.501753469245216</v>
      </c>
      <c r="F16" s="21">
        <f t="shared" ca="1" si="1"/>
        <v>1020.1997630789672</v>
      </c>
      <c r="G16" s="21">
        <f t="shared" si="1"/>
        <v>0</v>
      </c>
      <c r="H16" s="21">
        <f t="shared" si="1"/>
        <v>0</v>
      </c>
      <c r="I16" s="21">
        <f t="shared" si="1"/>
        <v>0</v>
      </c>
      <c r="J16" s="21">
        <f t="shared" si="1"/>
        <v>1.5897032463992919E-2</v>
      </c>
      <c r="K16" s="21">
        <f t="shared" si="1"/>
        <v>0</v>
      </c>
      <c r="L16" s="21">
        <f t="shared" ca="1" si="1"/>
        <v>0</v>
      </c>
      <c r="M16" s="21">
        <f t="shared" si="1"/>
        <v>0</v>
      </c>
      <c r="N16" s="21">
        <f t="shared" ca="1" si="1"/>
        <v>630.45949395365676</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0.19549068033416228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1115.3095301833</v>
      </c>
      <c r="C20" s="23">
        <f t="shared" ref="C20:P20" ca="1" si="2">C16*C18</f>
        <v>0</v>
      </c>
      <c r="D20" s="23">
        <f t="shared" ca="1" si="2"/>
        <v>1037.3067030493846</v>
      </c>
      <c r="E20" s="23">
        <f t="shared" si="2"/>
        <v>19.635898037518665</v>
      </c>
      <c r="F20" s="23">
        <f t="shared" ca="1" si="2"/>
        <v>272.39333674208427</v>
      </c>
      <c r="G20" s="23">
        <f t="shared" si="2"/>
        <v>0</v>
      </c>
      <c r="H20" s="23">
        <f t="shared" si="2"/>
        <v>0</v>
      </c>
      <c r="I20" s="23">
        <f t="shared" si="2"/>
        <v>0</v>
      </c>
      <c r="J20" s="23">
        <f t="shared" si="2"/>
        <v>5.6275494922534931E-3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1242.2157636551701</v>
      </c>
      <c r="C26" s="39">
        <f>IF(ISERROR(B26*3.6/1000000/'E Balans VL '!Z12*100),0,B26*3.6/1000000/'E Balans VL '!Z12*100)</f>
        <v>2.6258473414949163E-2</v>
      </c>
      <c r="D26" s="237" t="s">
        <v>754</v>
      </c>
      <c r="F26" s="6"/>
    </row>
    <row r="27" spans="1:18">
      <c r="A27" s="231" t="s">
        <v>53</v>
      </c>
      <c r="B27" s="33">
        <f>IF(ISERROR(TER_horeca_ele_kWh/1000),0,TER_horeca_ele_kWh/1000)</f>
        <v>240.90692418282401</v>
      </c>
      <c r="C27" s="39">
        <f>IF(ISERROR(B27*3.6/1000000/'E Balans VL '!Z9*100),0,B27*3.6/1000000/'E Balans VL '!Z9*100)</f>
        <v>1.8990603042737395E-2</v>
      </c>
      <c r="D27" s="237" t="s">
        <v>754</v>
      </c>
      <c r="F27" s="6"/>
    </row>
    <row r="28" spans="1:18">
      <c r="A28" s="171" t="s">
        <v>52</v>
      </c>
      <c r="B28" s="33">
        <f>IF(ISERROR(TER_handel_ele_kWh/1000),0,TER_handel_ele_kWh/1000)</f>
        <v>1536.95393556115</v>
      </c>
      <c r="C28" s="39">
        <f>IF(ISERROR(B28*3.6/1000000/'E Balans VL '!Z13*100),0,B28*3.6/1000000/'E Balans VL '!Z13*100)</f>
        <v>4.4608613199751505E-2</v>
      </c>
      <c r="D28" s="237" t="s">
        <v>754</v>
      </c>
      <c r="F28" s="6"/>
    </row>
    <row r="29" spans="1:18">
      <c r="A29" s="231" t="s">
        <v>51</v>
      </c>
      <c r="B29" s="33">
        <f>IF(ISERROR(TER_gezond_ele_kWh/1000),0,TER_gezond_ele_kWh/1000)</f>
        <v>41.803197317505699</v>
      </c>
      <c r="C29" s="39">
        <f>IF(ISERROR(B29*3.6/1000000/'E Balans VL '!Z10*100),0,B29*3.6/1000000/'E Balans VL '!Z10*100)</f>
        <v>4.4025631041523126E-3</v>
      </c>
      <c r="D29" s="237" t="s">
        <v>754</v>
      </c>
      <c r="F29" s="6"/>
    </row>
    <row r="30" spans="1:18">
      <c r="A30" s="231" t="s">
        <v>50</v>
      </c>
      <c r="B30" s="33">
        <f>IF(ISERROR(TER_ander_ele_kWh/1000),0,TER_ander_ele_kWh/1000)</f>
        <v>492.42589754328998</v>
      </c>
      <c r="C30" s="39">
        <f>IF(ISERROR(B30*3.6/1000000/'E Balans VL '!Z14*100),0,B30*3.6/1000000/'E Balans VL '!Z14*100)</f>
        <v>3.6321441157165985E-2</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2150.8743357295598</v>
      </c>
      <c r="C32" s="39">
        <f>IF(ISERROR(B32*3.6/1000000/'E Balans VL '!Z8*100),0,B32*3.6/1000000/'E Balans VL '!Z8*100)</f>
        <v>1.769884078759142E-2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8063.600465871792</v>
      </c>
      <c r="C5" s="17">
        <f>IF(ISERROR('Eigen informatie GS &amp; warmtenet'!B59),0,'Eigen informatie GS &amp; warmtenet'!B59)</f>
        <v>0</v>
      </c>
      <c r="D5" s="30">
        <f>SUM(D6:D15)</f>
        <v>14163.813060765668</v>
      </c>
      <c r="E5" s="17">
        <f>SUM(E6:E15)</f>
        <v>593.22933530315368</v>
      </c>
      <c r="F5" s="17">
        <f>SUM(F6:F15)</f>
        <v>1976.9936045111481</v>
      </c>
      <c r="G5" s="18"/>
      <c r="H5" s="17"/>
      <c r="I5" s="17"/>
      <c r="J5" s="17">
        <f>SUM(J6:J15)</f>
        <v>24.876433471874151</v>
      </c>
      <c r="K5" s="17"/>
      <c r="L5" s="17"/>
      <c r="M5" s="17"/>
      <c r="N5" s="17">
        <f>SUM(N6:N15)</f>
        <v>1814.9422758202466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120.044746079783</v>
      </c>
      <c r="C8" s="33"/>
      <c r="D8" s="37">
        <f>IF( ISERROR(IND_metaal_Gas_kWH/1000),0,IND_metaal_Gas_kWH/1000)*0.902</f>
        <v>27.921706186923053</v>
      </c>
      <c r="E8" s="33">
        <f>C30*'E Balans VL '!I18/100/3.6*1000000</f>
        <v>1.1036954998852451</v>
      </c>
      <c r="F8" s="33">
        <f>C30*'E Balans VL '!L18/100/3.6*1000000+C30*'E Balans VL '!N18/100/3.6*1000000</f>
        <v>11.256200488122943</v>
      </c>
      <c r="G8" s="34"/>
      <c r="H8" s="33"/>
      <c r="I8" s="33"/>
      <c r="J8" s="40">
        <f>C30*'E Balans VL '!D18/100/3.6*1000000+C30*'E Balans VL '!E18/100/3.6*1000000</f>
        <v>0</v>
      </c>
      <c r="K8" s="33"/>
      <c r="L8" s="33"/>
      <c r="M8" s="33"/>
      <c r="N8" s="33">
        <f>C30*'E Balans VL '!Y18/100/3.6*1000000</f>
        <v>1.712636685125088</v>
      </c>
      <c r="O8" s="33"/>
      <c r="P8" s="33"/>
      <c r="R8" s="32"/>
    </row>
    <row r="9" spans="1:18">
      <c r="A9" s="6" t="s">
        <v>33</v>
      </c>
      <c r="B9" s="37">
        <f t="shared" si="0"/>
        <v>711.01284856880898</v>
      </c>
      <c r="C9" s="33"/>
      <c r="D9" s="37">
        <f>IF( ISERROR(IND_andere_gas_kWh/1000),0,IND_andere_gas_kWh/1000)*0.902</f>
        <v>561.63371100613517</v>
      </c>
      <c r="E9" s="33">
        <f>C31*'E Balans VL '!I19/100/3.6*1000000</f>
        <v>207.84289742419509</v>
      </c>
      <c r="F9" s="33">
        <f>C31*'E Balans VL '!L19/100/3.6*1000000+C31*'E Balans VL '!N19/100/3.6*1000000</f>
        <v>571.35264255249126</v>
      </c>
      <c r="G9" s="34"/>
      <c r="H9" s="33"/>
      <c r="I9" s="33"/>
      <c r="J9" s="40">
        <f>C31*'E Balans VL '!D19/100/3.6*1000000+C31*'E Balans VL '!E19/100/3.6*1000000</f>
        <v>0</v>
      </c>
      <c r="K9" s="33"/>
      <c r="L9" s="33"/>
      <c r="M9" s="33"/>
      <c r="N9" s="33">
        <f>C31*'E Balans VL '!Y19/100/3.6*1000000</f>
        <v>234.92967219459891</v>
      </c>
      <c r="O9" s="33"/>
      <c r="P9" s="33"/>
      <c r="R9" s="32"/>
    </row>
    <row r="10" spans="1:18">
      <c r="A10" s="6" t="s">
        <v>41</v>
      </c>
      <c r="B10" s="37">
        <f t="shared" si="0"/>
        <v>283.78152850440904</v>
      </c>
      <c r="C10" s="33"/>
      <c r="D10" s="37">
        <f>IF( ISERROR(IND_voed_gas_kWh/1000),0,IND_voed_gas_kWh/1000)*0.902</f>
        <v>303.85378601294786</v>
      </c>
      <c r="E10" s="33">
        <f>C32*'E Balans VL '!I20/100/3.6*1000000</f>
        <v>0.60034422363579076</v>
      </c>
      <c r="F10" s="33">
        <f>C32*'E Balans VL '!L20/100/3.6*1000000+C32*'E Balans VL '!N20/100/3.6*1000000</f>
        <v>18.043119456641264</v>
      </c>
      <c r="G10" s="34"/>
      <c r="H10" s="33"/>
      <c r="I10" s="33"/>
      <c r="J10" s="40">
        <f>C32*'E Balans VL '!D20/100/3.6*1000000+C32*'E Balans VL '!E20/100/3.6*1000000</f>
        <v>0</v>
      </c>
      <c r="K10" s="33"/>
      <c r="L10" s="33"/>
      <c r="M10" s="33"/>
      <c r="N10" s="33">
        <f>C32*'E Balans VL '!Y20/100/3.6*1000000</f>
        <v>19.58372589135471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6948.7613427187907</v>
      </c>
      <c r="C15" s="33"/>
      <c r="D15" s="37">
        <f>IF( ISERROR(IND_rest_gas_kWh/1000),0,IND_rest_gas_kWh/1000)*0.902</f>
        <v>13270.403857559661</v>
      </c>
      <c r="E15" s="33">
        <f>C37*'E Balans VL '!I15/100/3.6*1000000</f>
        <v>383.68239815543751</v>
      </c>
      <c r="F15" s="33">
        <f>C37*'E Balans VL '!L15/100/3.6*1000000+C37*'E Balans VL '!N15/100/3.6*1000000</f>
        <v>1376.3416420138926</v>
      </c>
      <c r="G15" s="34"/>
      <c r="H15" s="33"/>
      <c r="I15" s="33"/>
      <c r="J15" s="40">
        <f>C37*'E Balans VL '!D15/100/3.6*1000000+C37*'E Balans VL '!E15/100/3.6*1000000</f>
        <v>24.876433471874151</v>
      </c>
      <c r="K15" s="33"/>
      <c r="L15" s="33"/>
      <c r="M15" s="33"/>
      <c r="N15" s="33">
        <f>C37*'E Balans VL '!Y15/100/3.6*1000000</f>
        <v>1558.7162410491678</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8063.600465871792</v>
      </c>
      <c r="C18" s="21">
        <f>C5+C16</f>
        <v>0</v>
      </c>
      <c r="D18" s="21">
        <f>MAX((D5+D16),0)</f>
        <v>14163.813060765668</v>
      </c>
      <c r="E18" s="21">
        <f>MAX((E5+E16),0)</f>
        <v>593.22933530315368</v>
      </c>
      <c r="F18" s="21">
        <f>MAX((F5+F16),0)</f>
        <v>1976.9936045111481</v>
      </c>
      <c r="G18" s="21"/>
      <c r="H18" s="21"/>
      <c r="I18" s="21"/>
      <c r="J18" s="21">
        <f>MAX((J5+J16),0)</f>
        <v>24.876433471874151</v>
      </c>
      <c r="K18" s="21"/>
      <c r="L18" s="21">
        <f>MAX((L5+L16),0)</f>
        <v>0</v>
      </c>
      <c r="M18" s="21"/>
      <c r="N18" s="21">
        <f>MAX((N5+N16),0)</f>
        <v>1814.9422758202466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0.19549068033416228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1576.3587410161444</v>
      </c>
      <c r="C22" s="23">
        <f ca="1">C18*C20</f>
        <v>0</v>
      </c>
      <c r="D22" s="23">
        <f>D18*D20</f>
        <v>2861.0902382746649</v>
      </c>
      <c r="E22" s="23">
        <f>E18*E20</f>
        <v>134.66305911381588</v>
      </c>
      <c r="F22" s="23">
        <f>F18*F20</f>
        <v>527.85729240447654</v>
      </c>
      <c r="G22" s="23"/>
      <c r="H22" s="23"/>
      <c r="I22" s="23"/>
      <c r="J22" s="23">
        <f>J18*J20</f>
        <v>8.8062574490434482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120.044746079783</v>
      </c>
      <c r="C30" s="39">
        <f>IF(ISERROR(B30*3.6/1000000/'E Balans VL '!Z18*100),0,B30*3.6/1000000/'E Balans VL '!Z18*100)</f>
        <v>6.8032435752028338E-3</v>
      </c>
      <c r="D30" s="237" t="s">
        <v>754</v>
      </c>
    </row>
    <row r="31" spans="1:18">
      <c r="A31" s="6" t="s">
        <v>33</v>
      </c>
      <c r="B31" s="37">
        <f>IF( ISERROR(IND_ander_ele_kWh/1000),0,IND_ander_ele_kWh/1000)</f>
        <v>711.01284856880898</v>
      </c>
      <c r="C31" s="39">
        <f>IF(ISERROR(B31*3.6/1000000/'E Balans VL '!Z19*100),0,B31*3.6/1000000/'E Balans VL '!Z19*100)</f>
        <v>3.2248582205108178E-2</v>
      </c>
      <c r="D31" s="237" t="s">
        <v>754</v>
      </c>
    </row>
    <row r="32" spans="1:18">
      <c r="A32" s="171" t="s">
        <v>41</v>
      </c>
      <c r="B32" s="37">
        <f>IF( ISERROR(IND_voed_ele_kWh/1000),0,IND_voed_ele_kWh/1000)</f>
        <v>283.78152850440904</v>
      </c>
      <c r="C32" s="39">
        <f>IF(ISERROR(B32*3.6/1000000/'E Balans VL '!Z20*100),0,B32*3.6/1000000/'E Balans VL '!Z20*100)</f>
        <v>8.7786509360059661E-3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6948.7613427187907</v>
      </c>
      <c r="C37" s="39">
        <f>IF(ISERROR(B37*3.6/1000000/'E Balans VL '!Z15*100),0,B37*3.6/1000000/'E Balans VL '!Z15*100)</f>
        <v>5.5077467531589347E-2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4428.6601667055411</v>
      </c>
      <c r="C5" s="17">
        <f>'Eigen informatie GS &amp; warmtenet'!B60</f>
        <v>0</v>
      </c>
      <c r="D5" s="30">
        <f>IF(ISERROR(SUM(LB_lb_gas_kWh,LB_rest_gas_kWh)/1000),0,SUM(LB_lb_gas_kWh,LB_rest_gas_kWh)/1000)*0.902</f>
        <v>15467.103936959926</v>
      </c>
      <c r="E5" s="17">
        <f>B17*'E Balans VL '!I25/3.6*1000000/100</f>
        <v>130.17184898889573</v>
      </c>
      <c r="F5" s="17">
        <f>B17*('E Balans VL '!L25/3.6*1000000+'E Balans VL '!N25/3.6*1000000)/100</f>
        <v>18449.558942260817</v>
      </c>
      <c r="G5" s="18"/>
      <c r="H5" s="17"/>
      <c r="I5" s="17"/>
      <c r="J5" s="17">
        <f>('E Balans VL '!D25+'E Balans VL '!E25)/3.6*1000000*landbouw!B17/100</f>
        <v>641.61775158987882</v>
      </c>
      <c r="K5" s="17"/>
      <c r="L5" s="17">
        <f>L6*(-1)</f>
        <v>0</v>
      </c>
      <c r="M5" s="17"/>
      <c r="N5" s="17">
        <f>N6*(-1)</f>
        <v>124.71428571428569</v>
      </c>
      <c r="O5" s="17"/>
      <c r="P5" s="17"/>
      <c r="R5" s="32"/>
    </row>
    <row r="6" spans="1:18">
      <c r="A6" s="16" t="s">
        <v>488</v>
      </c>
      <c r="B6" s="17" t="s">
        <v>211</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4428.6601667055411</v>
      </c>
      <c r="C8" s="21">
        <f>C5+C6</f>
        <v>62.357142857142847</v>
      </c>
      <c r="D8" s="21">
        <f>MAX((D5+D6),0)</f>
        <v>15467.103936959926</v>
      </c>
      <c r="E8" s="21">
        <f>MAX((E5+E6),0)</f>
        <v>130.17184898889573</v>
      </c>
      <c r="F8" s="21">
        <f>MAX((F5+F6),0)</f>
        <v>18449.558942260817</v>
      </c>
      <c r="G8" s="21"/>
      <c r="H8" s="21"/>
      <c r="I8" s="21"/>
      <c r="J8" s="21">
        <f>MAX((J5+J6),0)</f>
        <v>641.61775158987882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0.19549068033416228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865.76178895807072</v>
      </c>
      <c r="C12" s="23">
        <f ca="1">C8*C10</f>
        <v>0</v>
      </c>
      <c r="D12" s="23">
        <f>D8*D10</f>
        <v>3124.354995265905</v>
      </c>
      <c r="E12" s="23">
        <f>E8*E10</f>
        <v>29.549009720479333</v>
      </c>
      <c r="F12" s="23">
        <f>F8*F10</f>
        <v>4926.0322375836386</v>
      </c>
      <c r="G12" s="23"/>
      <c r="H12" s="23"/>
      <c r="I12" s="23"/>
      <c r="J12" s="23">
        <f>J8*J10</f>
        <v>227.13268406281708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0.62844077215305039</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607.16494777703247</v>
      </c>
      <c r="C26" s="247">
        <f>B26*'GWP N2O_CH4'!B5</f>
        <v>12750.463903317683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508.32772446100904</v>
      </c>
      <c r="C27" s="247">
        <f>B27*'GWP N2O_CH4'!B5</f>
        <v>10674.88221368119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8.5253774807661689</v>
      </c>
      <c r="C28" s="247">
        <f>B28*'GWP N2O_CH4'!B4</f>
        <v>2642.8670190375124</v>
      </c>
      <c r="D28" s="50"/>
    </row>
    <row r="29" spans="1:4">
      <c r="A29" s="41" t="s">
        <v>277</v>
      </c>
      <c r="B29" s="247">
        <f>B34*'ha_N2O bodem landbouw'!B4</f>
        <v>14.360573777814489</v>
      </c>
      <c r="C29" s="247">
        <f>B29*'GWP N2O_CH4'!B4</f>
        <v>4451.7778711224919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3.2770334473584185E-3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6.969431540447977E-5</v>
      </c>
      <c r="C5" s="463" t="s">
        <v>211</v>
      </c>
      <c r="D5" s="448">
        <f>SUM(D6:D11)</f>
        <v>2.8327725451545826E-4</v>
      </c>
      <c r="E5" s="448">
        <f>SUM(E6:E11)</f>
        <v>3.6987303762126927E-4</v>
      </c>
      <c r="F5" s="461" t="s">
        <v>211</v>
      </c>
      <c r="G5" s="448">
        <f>SUM(G6:G11)</f>
        <v>0.13932481175131969</v>
      </c>
      <c r="H5" s="448">
        <f>SUM(H6:H11)</f>
        <v>3.168935184727345E-2</v>
      </c>
      <c r="I5" s="463" t="s">
        <v>211</v>
      </c>
      <c r="J5" s="463" t="s">
        <v>211</v>
      </c>
      <c r="K5" s="463" t="s">
        <v>211</v>
      </c>
      <c r="L5" s="463" t="s">
        <v>211</v>
      </c>
      <c r="M5" s="448">
        <f>SUM(M6:M11)</f>
        <v>9.074941816904776E-3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3.7883070742459148E-5</v>
      </c>
      <c r="C6" s="449"/>
      <c r="D6" s="892">
        <f>vkm_2011_GW_PW*SUMIFS(TableVerdeelsleutelVkm[CNG],TableVerdeelsleutelVkm[Voertuigtype],"Lichte voertuigen")*SUMIFS(TableECFTransport[EnergieConsumptieFactor (PJ per km)],TableECFTransport[Index],CONCATENATE($A6,"_CNG_CNG"))</f>
        <v>1.1362746932252736E-4</v>
      </c>
      <c r="E6" s="892">
        <f>vkm_2011_GW_PW*SUMIFS(TableVerdeelsleutelVkm[LPG],TableVerdeelsleutelVkm[Voertuigtype],"Lichte voertuigen")*SUMIFS(TableECFTransport[EnergieConsumptieFactor (PJ per km)],TableECFTransport[Index],CONCATENATE($A6,"_LPG_LPG"))</f>
        <v>1.5523144487616635E-4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4.0135735724942986E-2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1.2923817176893174E-2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2.726160893849694E-3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3.970629523803855E-2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1.2101671952535238E-5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2.3203019322746957E-3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3.1811244662020614E-5</v>
      </c>
      <c r="C8" s="449"/>
      <c r="D8" s="451">
        <f>vkm_2011_NGW_PW*SUMIFS(TableVerdeelsleutelVkm[CNG],TableVerdeelsleutelVkm[Voertuigtype],"Lichte voertuigen")*SUMIFS(TableECFTransport[EnergieConsumptieFactor (PJ per km)],TableECFTransport[Index],CONCATENATE($A8,"_CNG_CNG"))</f>
        <v>1.6964978519293093E-4</v>
      </c>
      <c r="E8" s="451">
        <f>vkm_2011_NGW_PW*SUMIFS(TableVerdeelsleutelVkm[LPG],TableVerdeelsleutelVkm[Voertuigtype],"Lichte voertuigen")*SUMIFS(TableECFTransport[EnergieConsumptieFactor (PJ per km)],TableECFTransport[Index],CONCATENATE($A8,"_LPG_LPG"))</f>
        <v>2.1464159274510293E-4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5.1716844149420529E-2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1.8751204766959424E-2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3.5746679437244351E-3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7.7659366389176464E-3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2.2282314683164116E-6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4.5381104705595119E-4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19.359532056799935</v>
      </c>
      <c r="C14" s="21"/>
      <c r="D14" s="21">
        <f t="shared" ref="D14:M14" si="0">((D5)*10^9/3600)+D12</f>
        <v>78.688126254293962</v>
      </c>
      <c r="E14" s="21">
        <f t="shared" si="0"/>
        <v>102.74251045035258</v>
      </c>
      <c r="F14" s="21"/>
      <c r="G14" s="21">
        <f t="shared" si="0"/>
        <v>38701.336597588808</v>
      </c>
      <c r="H14" s="21">
        <f t="shared" si="0"/>
        <v>8802.5977353537364</v>
      </c>
      <c r="I14" s="21"/>
      <c r="J14" s="21"/>
      <c r="K14" s="21"/>
      <c r="L14" s="21"/>
      <c r="M14" s="21">
        <f t="shared" si="0"/>
        <v>2520.8171713624379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0.19549068033416228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3.7846080927348433</v>
      </c>
      <c r="C18" s="23"/>
      <c r="D18" s="23">
        <f t="shared" ref="D18:M18" si="1">D14*D16</f>
        <v>15.895001503367382</v>
      </c>
      <c r="E18" s="23">
        <f t="shared" si="1"/>
        <v>23.322549872230038</v>
      </c>
      <c r="F18" s="23"/>
      <c r="G18" s="23">
        <f t="shared" si="1"/>
        <v>10333.256871556212</v>
      </c>
      <c r="H18" s="23">
        <f t="shared" si="1"/>
        <v>2191.8468361030805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5.3885584871543309E-4</v>
      </c>
      <c r="H50" s="321">
        <f t="shared" si="2"/>
        <v>0</v>
      </c>
      <c r="I50" s="321">
        <f t="shared" si="2"/>
        <v>0</v>
      </c>
      <c r="J50" s="321">
        <f t="shared" si="2"/>
        <v>0</v>
      </c>
      <c r="K50" s="321">
        <f t="shared" si="2"/>
        <v>0</v>
      </c>
      <c r="L50" s="321">
        <f t="shared" si="2"/>
        <v>0</v>
      </c>
      <c r="M50" s="321">
        <f t="shared" si="2"/>
        <v>3.0604633386732176E-5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5.3885584871543309E-4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3.0604633386732176E-5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149.6821801987314</v>
      </c>
      <c r="H54" s="21">
        <f t="shared" si="3"/>
        <v>0</v>
      </c>
      <c r="I54" s="21">
        <f t="shared" si="3"/>
        <v>0</v>
      </c>
      <c r="J54" s="21">
        <f t="shared" si="3"/>
        <v>0</v>
      </c>
      <c r="K54" s="21">
        <f t="shared" si="3"/>
        <v>0</v>
      </c>
      <c r="L54" s="21">
        <f t="shared" si="3"/>
        <v>0</v>
      </c>
      <c r="M54" s="21">
        <f t="shared" si="3"/>
        <v>8.5012870518700492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0.19549068033416228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39.965142113061283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3421.2217563246104</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43.649999999999991</v>
      </c>
      <c r="C8" s="570">
        <f>B101</f>
        <v>0</v>
      </c>
      <c r="D8" s="1044"/>
      <c r="E8" s="1044">
        <f>E101</f>
        <v>0</v>
      </c>
      <c r="F8" s="1045"/>
      <c r="G8" s="571"/>
      <c r="H8" s="1044">
        <f>I101</f>
        <v>0</v>
      </c>
      <c r="I8" s="1044">
        <f>G101+F101</f>
        <v>0</v>
      </c>
      <c r="J8" s="1044">
        <f>H101+D101+C101</f>
        <v>51.35294117647058</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3464.8717563246105</v>
      </c>
      <c r="C10" s="583">
        <f t="shared" ref="C10:L10" si="0">SUM(C8:C9)</f>
        <v>0</v>
      </c>
      <c r="D10" s="583">
        <f t="shared" si="0"/>
        <v>0</v>
      </c>
      <c r="E10" s="583">
        <f t="shared" si="0"/>
        <v>0</v>
      </c>
      <c r="F10" s="583">
        <f t="shared" si="0"/>
        <v>0</v>
      </c>
      <c r="G10" s="583">
        <f t="shared" si="0"/>
        <v>0</v>
      </c>
      <c r="H10" s="583">
        <f t="shared" si="0"/>
        <v>0</v>
      </c>
      <c r="I10" s="583">
        <f t="shared" si="0"/>
        <v>0</v>
      </c>
      <c r="J10" s="583">
        <f t="shared" si="0"/>
        <v>51.35294117647058</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62.357142857142847</v>
      </c>
      <c r="C17" s="595">
        <f>B102</f>
        <v>0</v>
      </c>
      <c r="D17" s="596"/>
      <c r="E17" s="596">
        <f>E102</f>
        <v>0</v>
      </c>
      <c r="F17" s="1050"/>
      <c r="G17" s="597"/>
      <c r="H17" s="595">
        <f>I102</f>
        <v>0</v>
      </c>
      <c r="I17" s="596">
        <f>G102+F102</f>
        <v>0</v>
      </c>
      <c r="J17" s="596">
        <f>H102+D102+C102</f>
        <v>73.361344537815114</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62.357142857142847</v>
      </c>
      <c r="C20" s="582">
        <f>SUM(C17:C19)</f>
        <v>0</v>
      </c>
      <c r="D20" s="582">
        <f t="shared" ref="D20:L20" si="1">SUM(D17:D19)</f>
        <v>0</v>
      </c>
      <c r="E20" s="582">
        <f t="shared" si="1"/>
        <v>0</v>
      </c>
      <c r="F20" s="582">
        <f t="shared" si="1"/>
        <v>0</v>
      </c>
      <c r="G20" s="582">
        <f t="shared" si="1"/>
        <v>0</v>
      </c>
      <c r="H20" s="582">
        <f t="shared" si="1"/>
        <v>0</v>
      </c>
      <c r="I20" s="582">
        <f t="shared" si="1"/>
        <v>0</v>
      </c>
      <c r="J20" s="582">
        <f t="shared" si="1"/>
        <v>73.361344537815114</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37012</v>
      </c>
      <c r="C28" s="796">
        <v>8755</v>
      </c>
      <c r="D28" s="653" t="s">
        <v>881</v>
      </c>
      <c r="E28" s="652" t="s">
        <v>882</v>
      </c>
      <c r="F28" s="652" t="s">
        <v>883</v>
      </c>
      <c r="G28" s="652" t="s">
        <v>884</v>
      </c>
      <c r="H28" s="652" t="s">
        <v>885</v>
      </c>
      <c r="I28" s="652" t="s">
        <v>886</v>
      </c>
      <c r="J28" s="795">
        <v>41360</v>
      </c>
      <c r="K28" s="795">
        <v>41360</v>
      </c>
      <c r="L28" s="652" t="s">
        <v>887</v>
      </c>
      <c r="M28" s="652">
        <v>9.6999999999999993</v>
      </c>
      <c r="N28" s="652">
        <v>43.649999999999991</v>
      </c>
      <c r="O28" s="652">
        <v>62.357142857142847</v>
      </c>
      <c r="P28" s="652">
        <v>0</v>
      </c>
      <c r="Q28" s="652">
        <v>124.71428571428569</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9.6999999999999993</v>
      </c>
      <c r="N58" s="610">
        <f>SUM(N28:N57)</f>
        <v>43.649999999999991</v>
      </c>
      <c r="O58" s="610">
        <f t="shared" ref="O58:W58" si="2">SUM(O28:O57)</f>
        <v>62.357142857142847</v>
      </c>
      <c r="P58" s="610">
        <f t="shared" si="2"/>
        <v>0</v>
      </c>
      <c r="Q58" s="610">
        <f t="shared" si="2"/>
        <v>124.71428571428569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9.6999999999999993</v>
      </c>
      <c r="N61" s="615">
        <f t="shared" si="4"/>
        <v>43.649999999999991</v>
      </c>
      <c r="O61" s="615">
        <f t="shared" si="4"/>
        <v>62.357142857142847</v>
      </c>
      <c r="P61" s="615">
        <f t="shared" si="4"/>
        <v>0</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51.35294117647058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73.361344537815114</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2019-08-12T08:33:57Z</dcterms:modified>
</cp:coreProperties>
</file>