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E9"/>
  <c r="E27" s="1"/>
  <c r="F20" i="14"/>
  <c r="F22" s="1"/>
  <c r="Q13"/>
  <c r="Q16" s="1"/>
  <c r="Q27" s="1"/>
  <c r="P8" i="48"/>
  <c r="P26" s="1"/>
  <c r="D9"/>
  <c r="D27" s="1"/>
  <c r="E20" i="14"/>
  <c r="E22" s="1"/>
  <c r="P10"/>
  <c r="O5" i="48"/>
  <c r="O23" s="1"/>
  <c r="O22"/>
  <c r="K23"/>
  <c r="K15"/>
  <c r="B9"/>
  <c r="C20" i="14"/>
  <c r="J7" i="48"/>
  <c r="J25" s="1"/>
  <c r="K24" i="14"/>
  <c r="K26" s="1"/>
  <c r="C22"/>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E7"/>
  <c r="E25" s="1"/>
  <c r="F24" i="14"/>
  <c r="F26" s="1"/>
  <c r="E4" i="48"/>
  <c r="F11" i="14"/>
  <c r="P13"/>
  <c r="P16" s="1"/>
  <c r="P27" s="1"/>
  <c r="O8" i="48"/>
  <c r="O26" s="1"/>
  <c r="I23"/>
  <c r="I33" s="1"/>
  <c r="I15"/>
  <c r="J4"/>
  <c r="K11" i="14"/>
  <c r="O11"/>
  <c r="N4" i="48"/>
  <c r="N22" s="1"/>
  <c r="O33"/>
  <c r="P46" i="14"/>
  <c r="P61" s="1"/>
  <c r="Q63"/>
  <c r="E12" i="17"/>
  <c r="F54" i="14" s="1"/>
  <c r="F56" s="1"/>
  <c r="P33" i="48"/>
  <c r="M14" i="22"/>
  <c r="P15" i="48"/>
  <c r="O15"/>
  <c r="I20" i="14"/>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22" l="1"/>
  <c r="H27" s="1"/>
  <c r="R19"/>
  <c r="R22" s="1"/>
  <c r="G9" i="48"/>
  <c r="H20" i="14"/>
  <c r="G28" i="48"/>
  <c r="Q10"/>
  <c r="J5"/>
  <c r="J23" s="1"/>
  <c r="K10" i="14"/>
  <c r="J22" i="48"/>
  <c r="F10" i="14"/>
  <c r="E5" i="48"/>
  <c r="E23" s="1"/>
  <c r="E22"/>
  <c r="Q4"/>
  <c r="Q7"/>
  <c r="P63" i="14"/>
  <c r="R11"/>
  <c r="M15" i="48"/>
  <c r="M27"/>
  <c r="M33" s="1"/>
  <c r="H15"/>
  <c r="H27"/>
  <c r="H33" s="1"/>
  <c r="N63" i="14"/>
  <c r="R20"/>
  <c r="R24"/>
  <c r="R26" s="1"/>
  <c r="N18" i="16"/>
  <c r="E20" i="15"/>
  <c r="F40" i="14" s="1"/>
  <c r="F18" i="16"/>
  <c r="J18"/>
  <c r="E18"/>
  <c r="G18" i="22"/>
  <c r="H50" i="14" s="1"/>
  <c r="H52" s="1"/>
  <c r="H61" s="1"/>
  <c r="H18" i="22"/>
  <c r="I50" i="14" s="1"/>
  <c r="I52" s="1"/>
  <c r="I61" s="1"/>
  <c r="I63" s="1"/>
  <c r="F13" l="1"/>
  <c r="E8" i="48"/>
  <c r="E26" s="1"/>
  <c r="E33" s="1"/>
  <c r="G27"/>
  <c r="G33" s="1"/>
  <c r="G15"/>
  <c r="J8"/>
  <c r="K13" i="14"/>
  <c r="H63"/>
  <c r="F16"/>
  <c r="F27" s="1"/>
  <c r="E15" i="48"/>
  <c r="Q9"/>
  <c r="K16" i="14"/>
  <c r="K27" s="1"/>
  <c r="N8" i="48"/>
  <c r="N26" s="1"/>
  <c r="O13" i="14"/>
  <c r="F8" i="48"/>
  <c r="G13" i="14"/>
  <c r="E22" i="16"/>
  <c r="F43" i="14" s="1"/>
  <c r="F46" s="1"/>
  <c r="F61" s="1"/>
  <c r="F22" i="16"/>
  <c r="G43" i="14" s="1"/>
  <c r="N22" i="16"/>
  <c r="O43" i="14" s="1"/>
  <c r="J22" i="16"/>
  <c r="K43" i="14" s="1"/>
  <c r="K46" s="1"/>
  <c r="K61" s="1"/>
  <c r="J26" i="48" l="1"/>
  <c r="J33" s="1"/>
  <c r="J15"/>
  <c r="F63" i="14"/>
  <c r="R13"/>
  <c r="K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<sst xmlns="http://schemas.openxmlformats.org/spreadsheetml/2006/main" count="2392" uniqueCount="888">
  <si>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</si>
  <si>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</si>
  <si>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</si>
  <si>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</si>
  <si>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</si>
  <si>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</si>
  <si>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</si>
  <si>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</si>
  <si>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</si>
  <si>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</si>
  <si>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</si>
  <si>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</si>
  <si>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</si>
  <si>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</si>
  <si>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</si>
  <si>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</si>
  <si>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</si>
  <si>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</si>
  <si>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</si>
  <si>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</si>
  <si>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</si>
  <si>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</si>
  <si>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</si>
  <si>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</si>
  <si>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</si>
  <si>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</si>
  <si>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</si>
  <si>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</si>
  <si>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</si>
  <si>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</si>
  <si>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</si>
  <si>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</si>
  <si>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</si>
  <si>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</si>
  <si>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</si>
  <si>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</si>
  <si>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</si>
  <si>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</si>
  <si>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</si>
  <si>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</si>
  <si>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</si>
  <si>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</si>
  <si>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</si>
  <si>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</si>
  <si>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</si>
  <si>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</si>
  <si>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</si>
  <si>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</si>
  <si>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</si>
  <si>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</si>
  <si>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</si>
  <si>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</si>
  <si>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</si>
  <si>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</si>
  <si>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</si>
  <si>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</si>
  <si>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</si>
  <si>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</si>
  <si>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</si>
  <si>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</si>
  <si>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</si>
  <si>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</si>
  <si>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</si>
  <si>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</si>
  <si>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</si>
  <si>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</si>
  <si>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</si>
  <si>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</si>
  <si>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</si>
  <si>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</si>
  <si>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</si>
  <si>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</si>
  <si>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</si>
  <si>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</si>
  <si>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</si>
  <si>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</si>
  <si>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</si>
  <si>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</si>
  <si>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</si>
  <si>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</si>
  <si>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</si>
  <si>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</si>
  <si>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</si>
  <si>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</si>
  <si>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</si>
  <si>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</si>
  <si>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</si>
  <si>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</si>
  <si>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</si>
  <si>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</si>
  <si>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</si>
  <si>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</si>
  <si>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</si>
  <si>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</si>
  <si>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</si>
  <si>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</si>
  <si>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</si>
  <si>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</si>
  <si>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</si>
  <si>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</si>
  <si>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</si>
  <si>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</si>
  <si>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</si>
  <si>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</si>
  <si>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</si>
  <si>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</si>
  <si>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</si>
  <si>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</si>
  <si>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</si>
  <si>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</si>
  <si>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</si>
  <si>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</si>
  <si>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</si>
  <si>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</si>
  <si>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</si>
  <si>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</si>
  <si>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</si>
  <si>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</si>
  <si>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</si>
  <si>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</si>
  <si>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</si>
  <si>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</si>
  <si>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</si>
  <si>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</si>
  <si>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</si>
  <si>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</si>
  <si>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</si>
  <si>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</si>
  <si>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</si>
  <si>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</si>
  <si>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</si>
  <si>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</si>
  <si>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</si>
  <si>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</si>
  <si>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</si>
  <si>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</si>
  <si>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</si>
  <si>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</si>
  <si>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</si>
  <si>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</si>
  <si>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</si>
  <si>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</si>
  <si>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</si>
  <si>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</si>
  <si>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</si>
  <si>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</si>
  <si>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</si>
  <si>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</si>
  <si>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</si>
  <si>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</si>
  <si>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</si>
  <si>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</si>
  <si>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</si>
  <si>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</si>
  <si>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</si>
  <si>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</si>
  <si>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</si>
  <si>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</si>
  <si>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</si>
  <si>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</si>
  <si>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</si>
  <si>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</si>
  <si>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</si>
  <si>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</si>
  <si>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</si>
  <si>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</si>
  <si>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</si>
  <si>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</si>
  <si>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</si>
  <si>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</si>
  <si>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</si>
  <si>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</si>
  <si>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</si>
  <si>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</si>
  <si>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</si>
  <si>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</si>
  <si>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</si>
  <si>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</si>
  <si>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</si>
  <si>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</si>
  <si>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</si>
  <si>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</si>
  <si>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</si>
  <si>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</si>
  <si>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</si>
  <si>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</si>
  <si>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</si>
  <si>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</si>
  <si>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</si>
  <si>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</si>
  <si>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</si>
  <si>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</si>
  <si>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</si>
  <si>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</si>
  <si>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</si>
  <si>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</si>
  <si>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</si>
  <si>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</si>
  <si>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</si>
  <si>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</si>
  <si>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</si>
  <si>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</si>
  <si>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</si>
  <si>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</si>
  <si>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</si>
  <si>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</si>
  <si>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</si>
  <si>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</si>
  <si>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</si>
  <si>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</si>
  <si>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</si>
  <si>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</si>
  <si>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</si>
  <si>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</si>
  <si>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</si>
  <si>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</si>
  <si>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</si>
  <si>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</si>
  <si>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</si>
  <si>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</si>
  <si>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</si>
  <si>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</si>
  <si>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</si>
  <si>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</si>
  <si>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</si>
  <si>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</si>
  <si>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</si>
  <si>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</si>
  <si>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</si>
  <si>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</si>
  <si>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</si>
  <si>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</si>
  <si>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</si>
  <si>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</si>
  <si>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</si>
  <si>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</si>
  <si>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</si>
  <si>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</si>
  <si>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</si>
  <si>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</si>
  <si>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</si>
  <si>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</si>
  <si>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</si>
  <si>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</si>
  <si>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</si>
  <si>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</si>
  <si>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</si>
  <si>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</si>
  <si>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</si>
  <si>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</si>
  <si>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</si>
  <si>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</si>
  <si>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</si>
  <si>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</si>
  <si>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</si>
  <si>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</si>
  <si>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</si>
  <si>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</si>
  <si>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</si>
  <si>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</si>
  <si>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</si>
  <si>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</si>
  <si>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</si>
  <si>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</si>
  <si>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</si>
  <si>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</si>
  <si>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</si>
  <si>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</si>
  <si>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</si>
  <si>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</si>
  <si>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</si>
  <si>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</si>
  <si>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</si>
  <si>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</si>
  <si>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</si>
  <si>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</si>
  <si>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</si>
  <si>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</si>
  <si>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</si>
  <si>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</si>
  <si>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</si>
  <si>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</si>
  <si>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</si>
  <si>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</si>
  <si>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</si>
  <si>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</si>
  <si>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</si>
  <si>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</si>
  <si>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</si>
  <si>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</si>
  <si>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</si>
  <si>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</si>
  <si>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</si>
  <si>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</si>
  <si>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</si>
  <si>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</si>
  <si>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</si>
  <si>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</si>
  <si>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</si>
  <si>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</si>
  <si>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</si>
  <si>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</si>
  <si>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</si>
  <si>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</si>
  <si>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</si>
  <si>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</si>
  <si>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</si>
  <si>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</si>
  <si>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</si>
  <si>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</si>
  <si>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</si>
  <si>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</si>
  <si>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</si>
  <si>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</si>
  <si>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</si>
  <si>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</si>
  <si>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</si>
  <si>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</si>
  <si>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</si>
  <si>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</si>
  <si>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</si>
  <si>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</si>
  <si>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</si>
  <si>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</si>
  <si>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</si>
  <si>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</si>
  <si>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</si>
  <si>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</si>
  <si>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</si>
  <si>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</si>
  <si>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</si>
  <si>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</si>
  <si>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</si>
  <si>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</si>
  <si>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</si>
  <si>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</si>
  <si>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</si>
  <si>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</si>
  <si>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</si>
  <si>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</si>
  <si>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</si>
  <si>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</si>
  <si>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</si>
  <si>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</si>
  <si>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</si>
  <si>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</si>
  <si>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</si>
  <si>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</si>
  <si>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</si>
  <si>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</si>
  <si>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</si>
  <si>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</si>
  <si>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</si>
  <si>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</si>
  <si>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</si>
  <si>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</si>
  <si>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</si>
  <si>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</si>
  <si>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</si>
  <si>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</si>
  <si>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</si>
  <si>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</si>
  <si>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</si>
  <si>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</si>
  <si>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</si>
  <si>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</si>
  <si>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</si>
  <si>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</si>
  <si>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</si>
  <si>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</si>
  <si>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</si>
  <si>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</si>
  <si>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</si>
  <si>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</si>
  <si>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</si>
  <si>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</si>
  <si>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</si>
  <si>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</si>
  <si>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</si>
  <si>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</si>
  <si>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</si>
  <si>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</si>
  <si>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</si>
  <si>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</si>
  <si>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</si>
  <si>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</si>
  <si>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</si>
  <si>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</si>
  <si>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</si>
  <si>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</si>
  <si>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</si>
  <si>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</si>
  <si>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</si>
  <si>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</si>
  <si>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</si>
  <si>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</si>
  <si>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</si>
  <si>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</si>
  <si>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</si>
  <si>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</si>
  <si>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</si>
  <si>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</si>
  <si>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</si>
  <si>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</si>
  <si>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</si>
  <si>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</si>
  <si>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</si>
  <si>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</si>
  <si>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</si>
  <si>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</si>
  <si>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</si>
  <si>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</si>
  <si>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</si>
  <si>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</si>
  <si>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</si>
  <si>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</si>
  <si>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</si>
  <si>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</si>
  <si>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</si>
  <si>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</si>
  <si>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</si>
  <si>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</si>
  <si>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</si>
  <si>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</si>
  <si>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</si>
  <si>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</si>
  <si>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</si>
  <si>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</si>
  <si>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</si>
  <si>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</si>
  <si>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</si>
  <si>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</si>
  <si>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</si>
  <si>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</si>
  <si>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</si>
  <si>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</si>
  <si>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</si>
  <si>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</si>
  <si>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</si>
  <si>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</si>
  <si>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</si>
  <si>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</si>
  <si>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</si>
  <si>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</si>
  <si>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</si>
  <si>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</si>
  <si>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</si>
  <si>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</si>
  <si>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</si>
  <si>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</si>
  <si>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</si>
  <si>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</si>
  <si>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</si>
  <si>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</si>
  <si>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</si>
  <si>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</si>
  <si>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</si>
  <si>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</si>
  <si>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</si>
  <si>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</si>
  <si>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</si>
  <si>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</si>
  <si>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</si>
  <si>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</si>
  <si>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</si>
  <si>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</si>
  <si>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</si>
  <si>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</si>
  <si>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</si>
  <si>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</si>
  <si>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</si>
  <si>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</si>
  <si>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</si>
  <si>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</si>
  <si>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</si>
  <si>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</si>
  <si>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</si>
  <si>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</si>
  <si>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</si>
  <si>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</si>
  <si>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</si>
  <si>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</si>
  <si>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</si>
  <si>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</si>
  <si>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</si>
  <si>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</si>
  <si>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</si>
  <si>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</si>
  <si>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</si>
  <si>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</si>
  <si>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</si>
  <si>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</si>
  <si>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</si>
  <si>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</si>
  <si>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</si>
  <si>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</si>
  <si>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</si>
  <si>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</si>
  <si>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</si>
  <si>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</si>
  <si>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</si>
  <si>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</si>
  <si>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</si>
  <si>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</si>
  <si>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</si>
  <si>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</si>
  <si>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</si>
  <si>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</si>
  <si>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</si>
  <si>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</si>
  <si>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</si>
  <si>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</si>
  <si>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</si>
  <si>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</si>
  <si>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</si>
  <si>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</si>
  <si>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</si>
  <si>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</si>
  <si>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</si>
  <si>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</si>
  <si>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</si>
  <si>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</si>
  <si>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</si>
  <si>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</si>
  <si>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</si>
  <si>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</si>
  <si>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</si>
  <si>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</si>
  <si>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</si>
  <si>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</si>
  <si>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</si>
  <si>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</si>
  <si>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</si>
  <si>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</si>
  <si>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</si>
  <si>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</si>
  <si>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</si>
  <si>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</si>
  <si>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</si>
  <si>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</si>
  <si>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</si>
  <si>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</si>
  <si>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</si>
  <si>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</si>
  <si>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</si>
  <si>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</si>
  <si>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</si>
  <si>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</si>
  <si>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</si>
  <si>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</si>
  <si>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</si>
  <si>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</si>
  <si>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</si>
  <si>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</si>
  <si>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</si>
  <si>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</si>
  <si>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</si>
  <si>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</si>
  <si>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</si>
  <si>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</si>
  <si>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</si>
  <si>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</si>
  <si>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</si>
  <si>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</si>
  <si>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</si>
  <si>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</si>
  <si>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</si>
  <si>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</si>
  <si>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</si>
  <si>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</si>
  <si>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</si>
  <si>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</si>
  <si>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</si>
  <si>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</si>
  <si>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</si>
  <si>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</si>
  <si>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</si>
  <si>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</si>
  <si>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</si>
  <si>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</si>
  <si>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</si>
  <si>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</si>
  <si>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</si>
  <si>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</si>
  <si>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</si>
  <si>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</si>
  <si>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</si>
  <si>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</si>
  <si>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</si>
  <si>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</si>
  <si>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</si>
  <si>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</si>
  <si>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</si>
  <si>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</si>
  <si>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</si>
  <si>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</si>
  <si>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</si>
  <si>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</si>
  <si>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</si>
  <si>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</si>
  <si>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</si>
  <si>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</si>
  <si>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</si>
  <si>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</si>
  <si>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</si>
  <si>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</si>
  <si>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</si>
  <si>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</si>
  <si>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</si>
  <si>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</si>
  <si>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</si>
  <si>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</si>
  <si>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</si>
  <si>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</si>
  <si>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</si>
  <si>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</si>
  <si>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</si>
  <si>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</si>
  <si>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</si>
  <si>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</si>
  <si>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</si>
  <si>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</si>
  <si>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</si>
  <si>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</si>
  <si>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</si>
  <si>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</si>
  <si>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</si>
  <si>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</si>
  <si>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</si>
  <si>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</si>
  <si>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</si>
  <si>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</si>
  <si>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</si>
  <si>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</si>
  <si>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</si>
  <si>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</si>
  <si>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</si>
  <si>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</si>
  <si>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</si>
  <si>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</si>
  <si>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</si>
  <si>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</si>
  <si>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</si>
  <si>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</si>
  <si>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</si>
  <si>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</si>
  <si>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</si>
  <si>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</si>
  <si>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</si>
  <si>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</si>
  <si>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</si>
  <si>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</si>
  <si>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</si>
  <si>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</si>
  <si>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</si>
  <si>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</si>
  <si>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</si>
  <si>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</si>
  <si>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</si>
  <si>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</si>
  <si>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</si>
  <si>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</si>
  <si>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</si>
  <si>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</si>
  <si>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</si>
  <si>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</si>
  <si>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</si>
  <si>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</si>
  <si>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</si>
  <si>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</si>
  <si>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</si>
  <si>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</si>
  <si>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</si>
  <si>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</si>
  <si>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</si>
  <si>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</si>
  <si>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</si>
  <si>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</si>
  <si>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</si>
  <si>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</si>
  <si>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</si>
  <si>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</si>
  <si>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</si>
  <si>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</si>
  <si>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</si>
  <si>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</si>
  <si>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</si>
  <si>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</si>
  <si>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</si>
  <si>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</si>
  <si>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</si>
  <si>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</si>
  <si>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</si>
  <si>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</si>
  <si>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</si>
  <si>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</si>
  <si>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</si>
  <si>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</si>
  <si>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</si>
  <si>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</si>
  <si>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</si>
  <si>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</si>
  <si>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</si>
  <si>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</si>
  <si>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</si>
  <si>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</si>
  <si>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</si>
  <si>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</si>
  <si>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</si>
  <si>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</si>
  <si>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</si>
  <si>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</si>
  <si>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</si>
  <si>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</si>
  <si>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</si>
  <si>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</si>
  <si>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</si>
  <si>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</si>
  <si>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</si>
  <si>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</si>
  <si>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</si>
  <si>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</si>
  <si>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</si>
  <si>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</si>
  <si>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</si>
  <si>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</si>
  <si>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</si>
  <si>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</si>
  <si>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</si>
  <si>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</si>
  <si>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</si>
  <si>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</si>
  <si>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</si>
  <si>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</si>
  <si>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</si>
  <si>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</si>
  <si>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</si>
  <si>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</si>
  <si>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</si>
  <si>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</si>
  <si>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</si>
  <si>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</si>
  <si>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</si>
  <si>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</si>
  <si>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</si>
  <si>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</si>
  <si>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</si>
  <si>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</si>
  <si>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</si>
  <si>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</si>
  <si>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</si>
  <si>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</si>
  <si>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</si>
  <si>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</si>
  <si>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</si>
  <si>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</si>
  <si>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</si>
  <si>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</si>
  <si>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</si>
  <si>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</si>
  <si>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</si>
  <si>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</si>
  <si>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</si>
  <si>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</si>
  <si>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</si>
  <si>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</si>
  <si>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</si>
  <si>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</si>
  <si>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</si>
  <si>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</si>
  <si>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</si>
  <si>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</si>
  <si>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</si>
  <si>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</si>
  <si>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</si>
  <si>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</si>
  <si>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</si>
  <si>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</si>
  <si>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</si>
  <si>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</si>
  <si>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</si>
  <si>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</si>
  <si>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</si>
  <si>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</si>
  <si>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</si>
  <si>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</si>
  <si>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</si>
  <si>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</si>
  <si>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</si>
  <si>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</si>
  <si>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</si>
  <si>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</si>
  <si>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</si>
  <si>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</si>
  <si>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</si>
  <si>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</si>
  <si>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</si>
  <si>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</si>
  <si>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</si>
  <si>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</si>
  <si>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</si>
  <si>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</si>
  <si>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</si>
  <si>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</si>
  <si>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</si>
  <si>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</si>
  <si>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</si>
  <si>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</si>
  <si>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</si>
  <si>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</si>
  <si>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</si>
  <si>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</si>
  <si>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</si>
  <si>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</si>
  <si>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</si>
  <si>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</si>
  <si>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</si>
  <si>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</si>
  <si>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</si>
  <si>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</si>
  <si>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</si>
  <si>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</si>
  <si>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</si>
  <si>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</si>
  <si>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</si>
  <si>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</si>
  <si>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</si>
  <si>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</si>
  <si>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</si>
  <si>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</si>
  <si>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</si>
  <si>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</si>
  <si>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</si>
  <si>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</si>
  <si>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</si>
  <si>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</si>
  <si>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</si>
  <si>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</si>
  <si>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</si>
  <si>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</si>
  <si>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</si>
  <si>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</si>
  <si>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</si>
  <si>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</si>
  <si>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</si>
  <si>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</si>
  <si>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</si>
  <si>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</si>
  <si>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</si>
  <si>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</si>
  <si>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</si>
  <si>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</si>
  <si>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</si>
  <si>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</si>
  <si>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</si>
  <si>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</si>
  <si>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</si>
  <si>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</si>
  <si>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</si>
  <si>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</si>
  <si>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</si>
  <si>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</si>
  <si>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</si>
  <si>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</si>
  <si>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</si>
  <si>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</si>
  <si>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</si>
  <si>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</si>
  <si>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</si>
  <si>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</si>
  <si>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</si>
  <si>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</si>
  <si>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</si>
  <si>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37002</t>
  </si>
  <si>
    <t>DENTERGEM</t>
  </si>
  <si>
    <t>Eandis (januari 2018); Infrax (juni 2018)</t>
  </si>
  <si>
    <t>MOW (september 2017)</t>
  </si>
  <si>
    <t>referentietaak LNE (2017); Jaarverslag De Lijn (2016)</t>
  </si>
  <si>
    <t>VEA (april 2018)</t>
  </si>
  <si>
    <t>VEA (januari 2017)</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</si>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</sst>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74836.176477385205</c:v>
                </c:pt>
                <c:pt idx="1">
                  <c:v>19123.56512244789</c:v>
                </c:pt>
                <c:pt idx="2">
                  <c:v>627.98299999999995</c:v>
                </c:pt>
                <c:pt idx="3">
                  <c:v>21467.324969211655</c:v>
                </c:pt>
                <c:pt idx="4">
                  <c:v>21256.375458065042</c:v>
                </c:pt>
                <c:pt idx="5">
                  <c:v>36553.311242215656</c:v>
                </c:pt>
                <c:pt idx="6">
                  <c:v>150.21198209383022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825280"/>
        <c:axId val="175826816"/>
      </c:barChart>
      <c:catAx>
        <c:axId val="175825280"/>
        <c:scaling>
          <c:orientation val="minMax"/>
        </c:scaling>
        <c:axPos val="b"/>
        <c:numFmt formatCode="General" sourceLinked="0"/>
        <c:tickLblPos val="nextTo"/>
        <c:crossAx val="175826816"/>
        <c:crosses val="autoZero"/>
        <c:auto val="1"/>
        <c:lblAlgn val="ctr"/>
        <c:lblOffset val="100"/>
      </c:catAx>
      <c:valAx>
        <c:axId val="175826816"/>
        <c:scaling>
          <c:orientation val="minMax"/>
        </c:scaling>
        <c:axPos val="l"/>
        <c:majorGridlines>
          <c:spPr>
            <a:ln>
              <a:noFill/>
            </a:ln>
          </c:spPr>
        </c:majorGridlines>
        <c:numFmt formatCode="#,##0" sourceLinked="1"/>
        <c:tickLblPos val="nextTo"/>
        <c:crossAx val="175825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74836.176477385205</c:v>
                </c:pt>
                <c:pt idx="1">
                  <c:v>19123.56512244789</c:v>
                </c:pt>
                <c:pt idx="2">
                  <c:v>627.98299999999995</c:v>
                </c:pt>
                <c:pt idx="3">
                  <c:v>21467.324969211655</c:v>
                </c:pt>
                <c:pt idx="4">
                  <c:v>21256.375458065042</c:v>
                </c:pt>
                <c:pt idx="5">
                  <c:v>36553.311242215656</c:v>
                </c:pt>
                <c:pt idx="6">
                  <c:v>150.21198209383022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14343.878752616216</c:v>
                </c:pt>
                <c:pt idx="2">
                  <c:v>3719.7333039392483</c:v>
                </c:pt>
                <c:pt idx="3">
                  <c:v>128.94048634405252</c:v>
                </c:pt>
                <c:pt idx="4">
                  <c:v>5400.8083227608859</c:v>
                </c:pt>
                <c:pt idx="5">
                  <c:v>4008.8146967816911</c:v>
                </c:pt>
                <c:pt idx="6">
                  <c:v>9157.7970810571678</c:v>
                </c:pt>
                <c:pt idx="7">
                  <c:v>37.951141897490025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417408"/>
        <c:axId val="176419200"/>
      </c:barChart>
      <c:catAx>
        <c:axId val="176417408"/>
        <c:scaling>
          <c:orientation val="minMax"/>
        </c:scaling>
        <c:axPos val="b"/>
        <c:numFmt formatCode="General" sourceLinked="0"/>
        <c:tickLblPos val="nextTo"/>
        <c:crossAx val="176419200"/>
        <c:crosses val="autoZero"/>
        <c:auto val="1"/>
        <c:lblAlgn val="ctr"/>
        <c:lblOffset val="100"/>
      </c:catAx>
      <c:valAx>
        <c:axId val="176419200"/>
        <c:scaling>
          <c:orientation val="minMax"/>
        </c:scaling>
        <c:axPos val="l"/>
        <c:majorGridlines>
          <c:spPr>
            <a:ln>
              <a:noFill/>
            </a:ln>
          </c:spPr>
        </c:majorGridlines>
        <c:numFmt formatCode="#,##0" sourceLinked="1"/>
        <c:tickLblPos val="nextTo"/>
        <c:crossAx val="1764174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14343.878752616216</c:v>
                </c:pt>
                <c:pt idx="2">
                  <c:v>3719.7333039392483</c:v>
                </c:pt>
                <c:pt idx="3">
                  <c:v>128.94048634405252</c:v>
                </c:pt>
                <c:pt idx="4">
                  <c:v>5400.8083227608859</c:v>
                </c:pt>
                <c:pt idx="5">
                  <c:v>4008.8146967816911</c:v>
                </c:pt>
                <c:pt idx="6">
                  <c:v>9157.7970810571678</c:v>
                </c:pt>
                <c:pt idx="7">
                  <c:v>37.951141897490025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37002</v>
      </c>
      <c r="B6" s="415"/>
      <c r="C6" s="416"/>
    </row>
    <row r="7" spans="1:7" s="413" customFormat="1" ht="15.75" customHeight="1">
      <c r="A7" s="417" t="str">
        <f>txtMunicipality</f>
        <v>DENTERGEM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0.20532480392630456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0.20532480392630456</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3320</v>
      </c>
      <c r="C9" s="342">
        <v>3405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1714.75</v>
      </c>
    </row>
    <row r="15" spans="1:6">
      <c r="A15" s="348" t="s">
        <v>184</v>
      </c>
      <c r="B15" s="334">
        <v>26</v>
      </c>
    </row>
    <row r="16" spans="1:6">
      <c r="A16" s="348" t="s">
        <v>6</v>
      </c>
      <c r="B16" s="334">
        <v>781</v>
      </c>
    </row>
    <row r="17" spans="1:6">
      <c r="A17" s="348" t="s">
        <v>7</v>
      </c>
      <c r="B17" s="334">
        <v>918</v>
      </c>
    </row>
    <row r="18" spans="1:6">
      <c r="A18" s="348" t="s">
        <v>8</v>
      </c>
      <c r="B18" s="334">
        <v>1105</v>
      </c>
    </row>
    <row r="19" spans="1:6">
      <c r="A19" s="348" t="s">
        <v>9</v>
      </c>
      <c r="B19" s="334">
        <v>1065</v>
      </c>
    </row>
    <row r="20" spans="1:6">
      <c r="A20" s="348" t="s">
        <v>10</v>
      </c>
      <c r="B20" s="334">
        <v>590</v>
      </c>
    </row>
    <row r="21" spans="1:6">
      <c r="A21" s="348" t="s">
        <v>11</v>
      </c>
      <c r="B21" s="334">
        <v>12959</v>
      </c>
    </row>
    <row r="22" spans="1:6">
      <c r="A22" s="348" t="s">
        <v>12</v>
      </c>
      <c r="B22" s="334">
        <v>26439</v>
      </c>
    </row>
    <row r="23" spans="1:6">
      <c r="A23" s="348" t="s">
        <v>13</v>
      </c>
      <c r="B23" s="334">
        <v>658</v>
      </c>
    </row>
    <row r="24" spans="1:6">
      <c r="A24" s="348" t="s">
        <v>14</v>
      </c>
      <c r="B24" s="334">
        <v>33</v>
      </c>
    </row>
    <row r="25" spans="1:6">
      <c r="A25" s="348" t="s">
        <v>15</v>
      </c>
      <c r="B25" s="334">
        <v>3340</v>
      </c>
    </row>
    <row r="26" spans="1:6">
      <c r="A26" s="348" t="s">
        <v>16</v>
      </c>
      <c r="B26" s="334">
        <v>59</v>
      </c>
    </row>
    <row r="27" spans="1:6">
      <c r="A27" s="348" t="s">
        <v>17</v>
      </c>
      <c r="B27" s="334">
        <v>0</v>
      </c>
    </row>
    <row r="28" spans="1:6" s="356" customFormat="1">
      <c r="A28" s="355" t="s">
        <v>18</v>
      </c>
      <c r="B28" s="355">
        <v>163400</v>
      </c>
    </row>
    <row r="29" spans="1:6">
      <c r="A29" s="355" t="s">
        <v>744</v>
      </c>
      <c r="B29" s="355">
        <v>105</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1521</v>
      </c>
      <c r="D39" s="334">
        <v>24167632.655468699</v>
      </c>
      <c r="E39" s="334">
        <v>3026</v>
      </c>
      <c r="F39" s="334">
        <v>11858650.453916701</v>
      </c>
    </row>
    <row r="40" spans="1:6">
      <c r="A40" s="348" t="s">
        <v>30</v>
      </c>
      <c r="B40" s="348" t="s">
        <v>29</v>
      </c>
      <c r="C40" s="334">
        <v>0</v>
      </c>
      <c r="D40" s="334">
        <v>0</v>
      </c>
      <c r="E40" s="334">
        <v>0</v>
      </c>
      <c r="F40" s="334">
        <v>0</v>
      </c>
    </row>
    <row r="41" spans="1:6">
      <c r="A41" s="348" t="s">
        <v>32</v>
      </c>
      <c r="B41" s="348" t="s">
        <v>33</v>
      </c>
      <c r="C41" s="334">
        <v>33</v>
      </c>
      <c r="D41" s="334">
        <v>569037.235716864</v>
      </c>
      <c r="E41" s="334">
        <v>126</v>
      </c>
      <c r="F41" s="334">
        <v>1478814.53227094</v>
      </c>
    </row>
    <row r="42" spans="1:6">
      <c r="A42" s="348" t="s">
        <v>32</v>
      </c>
      <c r="B42" s="348" t="s">
        <v>34</v>
      </c>
      <c r="C42" s="334">
        <v>0</v>
      </c>
      <c r="D42" s="334">
        <v>0</v>
      </c>
      <c r="E42" s="334">
        <v>3</v>
      </c>
      <c r="F42" s="334">
        <v>299657.63571628003</v>
      </c>
    </row>
    <row r="43" spans="1:6">
      <c r="A43" s="348" t="s">
        <v>32</v>
      </c>
      <c r="B43" s="348" t="s">
        <v>35</v>
      </c>
      <c r="C43" s="334">
        <v>0</v>
      </c>
      <c r="D43" s="334">
        <v>0</v>
      </c>
      <c r="E43" s="334">
        <v>0</v>
      </c>
      <c r="F43" s="334">
        <v>0</v>
      </c>
    </row>
    <row r="44" spans="1:6">
      <c r="A44" s="348" t="s">
        <v>32</v>
      </c>
      <c r="B44" s="348" t="s">
        <v>36</v>
      </c>
      <c r="C44" s="334">
        <v>0</v>
      </c>
      <c r="D44" s="334">
        <v>0</v>
      </c>
      <c r="E44" s="334">
        <v>11</v>
      </c>
      <c r="F44" s="334">
        <v>297648.01207066601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129583.477329113</v>
      </c>
      <c r="E47" s="334">
        <v>6</v>
      </c>
      <c r="F47" s="334">
        <v>28677.614510616801</v>
      </c>
    </row>
    <row r="48" spans="1:6">
      <c r="A48" s="348" t="s">
        <v>32</v>
      </c>
      <c r="B48" s="348" t="s">
        <v>29</v>
      </c>
      <c r="C48" s="334">
        <v>21</v>
      </c>
      <c r="D48" s="334">
        <v>544425.38471040002</v>
      </c>
      <c r="E48" s="334">
        <v>27</v>
      </c>
      <c r="F48" s="334">
        <v>9645231.8656649906</v>
      </c>
    </row>
    <row r="49" spans="1:6">
      <c r="A49" s="348" t="s">
        <v>32</v>
      </c>
      <c r="B49" s="348" t="s">
        <v>40</v>
      </c>
      <c r="C49" s="334">
        <v>0</v>
      </c>
      <c r="D49" s="334">
        <v>0</v>
      </c>
      <c r="E49" s="334">
        <v>11</v>
      </c>
      <c r="F49" s="334">
        <v>866392.73188845802</v>
      </c>
    </row>
    <row r="50" spans="1:6">
      <c r="A50" s="348" t="s">
        <v>32</v>
      </c>
      <c r="B50" s="348" t="s">
        <v>41</v>
      </c>
      <c r="C50" s="334">
        <v>5</v>
      </c>
      <c r="D50" s="334">
        <v>325196.79028931202</v>
      </c>
      <c r="E50" s="334">
        <v>7</v>
      </c>
      <c r="F50" s="334">
        <v>182882.47854710399</v>
      </c>
    </row>
    <row r="51" spans="1:6">
      <c r="A51" s="348" t="s">
        <v>42</v>
      </c>
      <c r="B51" s="348" t="s">
        <v>43</v>
      </c>
      <c r="C51" s="334">
        <v>0</v>
      </c>
      <c r="D51" s="334">
        <v>0</v>
      </c>
      <c r="E51" s="334">
        <v>95</v>
      </c>
      <c r="F51" s="334">
        <v>2388427.7179719098</v>
      </c>
    </row>
    <row r="52" spans="1:6">
      <c r="A52" s="348" t="s">
        <v>42</v>
      </c>
      <c r="B52" s="348" t="s">
        <v>29</v>
      </c>
      <c r="C52" s="334">
        <v>3</v>
      </c>
      <c r="D52" s="334">
        <v>76458.6547623652</v>
      </c>
      <c r="E52" s="334">
        <v>10</v>
      </c>
      <c r="F52" s="334">
        <v>420480.71960666397</v>
      </c>
    </row>
    <row r="53" spans="1:6">
      <c r="A53" s="348" t="s">
        <v>44</v>
      </c>
      <c r="B53" s="348" t="s">
        <v>45</v>
      </c>
      <c r="C53" s="334">
        <v>37</v>
      </c>
      <c r="D53" s="334">
        <v>698806.71178262006</v>
      </c>
      <c r="E53" s="334">
        <v>99</v>
      </c>
      <c r="F53" s="334">
        <v>355353.10413749801</v>
      </c>
    </row>
    <row r="54" spans="1:6">
      <c r="A54" s="348" t="s">
        <v>46</v>
      </c>
      <c r="B54" s="348" t="s">
        <v>47</v>
      </c>
      <c r="C54" s="334">
        <v>0</v>
      </c>
      <c r="D54" s="334">
        <v>0</v>
      </c>
      <c r="E54" s="334">
        <v>1</v>
      </c>
      <c r="F54" s="334">
        <v>627983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980877.95606172795</v>
      </c>
      <c r="E57" s="334">
        <v>70</v>
      </c>
      <c r="F57" s="334">
        <v>1266191.5962663</v>
      </c>
    </row>
    <row r="58" spans="1:6">
      <c r="A58" s="348" t="s">
        <v>49</v>
      </c>
      <c r="B58" s="348" t="s">
        <v>51</v>
      </c>
      <c r="C58" s="334">
        <v>7</v>
      </c>
      <c r="D58" s="334">
        <v>2477343.3319070898</v>
      </c>
      <c r="E58" s="334">
        <v>21</v>
      </c>
      <c r="F58" s="334">
        <v>1014627.31792942</v>
      </c>
    </row>
    <row r="59" spans="1:6">
      <c r="A59" s="348" t="s">
        <v>49</v>
      </c>
      <c r="B59" s="348" t="s">
        <v>52</v>
      </c>
      <c r="C59" s="334">
        <v>13</v>
      </c>
      <c r="D59" s="334">
        <v>481471.342986551</v>
      </c>
      <c r="E59" s="334">
        <v>88</v>
      </c>
      <c r="F59" s="334">
        <v>1858579.97682024</v>
      </c>
    </row>
    <row r="60" spans="1:6">
      <c r="A60" s="348" t="s">
        <v>49</v>
      </c>
      <c r="B60" s="348" t="s">
        <v>53</v>
      </c>
      <c r="C60" s="334">
        <v>18</v>
      </c>
      <c r="D60" s="334">
        <v>659812.53536230698</v>
      </c>
      <c r="E60" s="334">
        <v>27</v>
      </c>
      <c r="F60" s="334">
        <v>429609.97746271</v>
      </c>
    </row>
    <row r="61" spans="1:6">
      <c r="A61" s="348" t="s">
        <v>49</v>
      </c>
      <c r="B61" s="348" t="s">
        <v>54</v>
      </c>
      <c r="C61" s="334">
        <v>50</v>
      </c>
      <c r="D61" s="334">
        <v>1070215.0363814</v>
      </c>
      <c r="E61" s="334">
        <v>125</v>
      </c>
      <c r="F61" s="334">
        <v>797423.69349122804</v>
      </c>
    </row>
    <row r="62" spans="1:6">
      <c r="A62" s="348" t="s">
        <v>49</v>
      </c>
      <c r="B62" s="348" t="s">
        <v>55</v>
      </c>
      <c r="C62" s="334">
        <v>5</v>
      </c>
      <c r="D62" s="334">
        <v>262152.24882774299</v>
      </c>
      <c r="E62" s="334">
        <v>6</v>
      </c>
      <c r="F62" s="334">
        <v>49068.298265999299</v>
      </c>
    </row>
    <row r="63" spans="1:6">
      <c r="A63" s="348" t="s">
        <v>49</v>
      </c>
      <c r="B63" s="348" t="s">
        <v>29</v>
      </c>
      <c r="C63" s="334">
        <v>64</v>
      </c>
      <c r="D63" s="334">
        <v>4434785.1316374401</v>
      </c>
      <c r="E63" s="334">
        <v>73</v>
      </c>
      <c r="F63" s="334">
        <v>1685386.9065829499</v>
      </c>
    </row>
    <row r="64" spans="1:6">
      <c r="A64" s="348" t="s">
        <v>56</v>
      </c>
      <c r="B64" s="348" t="s">
        <v>57</v>
      </c>
      <c r="C64" s="334">
        <v>0</v>
      </c>
      <c r="D64" s="334">
        <v>0</v>
      </c>
      <c r="E64" s="334">
        <v>0</v>
      </c>
      <c r="F64" s="334">
        <v>0</v>
      </c>
    </row>
    <row r="65" spans="1:6">
      <c r="A65" s="348" t="s">
        <v>56</v>
      </c>
      <c r="B65" s="348" t="s">
        <v>29</v>
      </c>
      <c r="C65" s="334">
        <v>2</v>
      </c>
      <c r="D65" s="334">
        <v>33546.672625315201</v>
      </c>
      <c r="E65" s="334">
        <v>0</v>
      </c>
      <c r="F65" s="334">
        <v>0</v>
      </c>
    </row>
    <row r="66" spans="1:6">
      <c r="A66" s="348" t="s">
        <v>56</v>
      </c>
      <c r="B66" s="348" t="s">
        <v>58</v>
      </c>
      <c r="C66" s="334">
        <v>0</v>
      </c>
      <c r="D66" s="334">
        <v>0</v>
      </c>
      <c r="E66" s="334">
        <v>4</v>
      </c>
      <c r="F66" s="334">
        <v>62111.305479861498</v>
      </c>
    </row>
    <row r="67" spans="1:6">
      <c r="A67" s="355" t="s">
        <v>56</v>
      </c>
      <c r="B67" s="355" t="s">
        <v>59</v>
      </c>
      <c r="C67" s="334">
        <v>0</v>
      </c>
      <c r="D67" s="334">
        <v>0</v>
      </c>
      <c r="E67" s="334">
        <v>0</v>
      </c>
      <c r="F67" s="334">
        <v>0</v>
      </c>
    </row>
    <row r="68" spans="1:6">
      <c r="A68" s="341" t="s">
        <v>56</v>
      </c>
      <c r="B68" s="341" t="s">
        <v>60</v>
      </c>
      <c r="C68" s="334">
        <v>0</v>
      </c>
      <c r="D68" s="334">
        <v>0</v>
      </c>
      <c r="E68" s="334">
        <v>12</v>
      </c>
      <c r="F68" s="334">
        <v>96839.407084906401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23562467</v>
      </c>
      <c r="E73" s="475">
        <v>23931886.096541256</v>
      </c>
    </row>
    <row r="74" spans="1:6">
      <c r="A74" s="348" t="s">
        <v>64</v>
      </c>
      <c r="B74" s="348" t="s">
        <v>657</v>
      </c>
      <c r="C74" s="1295" t="s">
        <v>659</v>
      </c>
      <c r="D74" s="475">
        <v>3665644</v>
      </c>
      <c r="E74" s="475">
        <v>3944775.2683320018</v>
      </c>
    </row>
    <row r="75" spans="1:6">
      <c r="A75" s="348" t="s">
        <v>65</v>
      </c>
      <c r="B75" s="348" t="s">
        <v>656</v>
      </c>
      <c r="C75" s="1295" t="s">
        <v>660</v>
      </c>
      <c r="D75" s="475">
        <v>9919106</v>
      </c>
      <c r="E75" s="475">
        <v>10257109.050699454</v>
      </c>
    </row>
    <row r="76" spans="1:6">
      <c r="A76" s="348" t="s">
        <v>65</v>
      </c>
      <c r="B76" s="348" t="s">
        <v>657</v>
      </c>
      <c r="C76" s="1295" t="s">
        <v>661</v>
      </c>
      <c r="D76" s="475">
        <v>1011113</v>
      </c>
      <c r="E76" s="475">
        <v>1104245.9958287757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40740</v>
      </c>
      <c r="C83" s="475">
        <v>40706.267469165308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2112.6642613200588</v>
      </c>
    </row>
    <row r="92" spans="1:6">
      <c r="A92" s="341" t="s">
        <v>69</v>
      </c>
      <c r="B92" s="342">
        <v>900.7040692622611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37676.923656199149</v>
      </c>
      <c r="C3" s="43" t="s">
        <v>170</v>
      </c>
      <c r="D3" s="43"/>
      <c r="E3" s="154"/>
      <c r="F3" s="43"/>
      <c r="G3" s="43"/>
      <c r="H3" s="43"/>
      <c r="I3" s="43"/>
      <c r="J3" s="43"/>
      <c r="K3" s="96"/>
    </row>
    <row r="4" spans="1:11">
      <c r="A4" s="383" t="s">
        <v>171</v>
      </c>
      <c r="B4" s="49">
        <f>IF(ISERROR('SEAP template'!B78+'SEAP template'!C78),0,'SEAP template'!B78+'SEAP template'!C78)</f>
        <v>7540.3683305823197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1075.828235294118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0.20532480392630456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1536.8974789915969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6467.1428571428569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627.98299999999995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627.98299999999995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0.20532480392630456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128.94048634405252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11858.6504539167</v>
      </c>
      <c r="C5" s="17">
        <f>IF(ISERROR('Eigen informatie GS &amp; warmtenet'!B57),0,'Eigen informatie GS &amp; warmtenet'!B57)</f>
        <v>0</v>
      </c>
      <c r="D5" s="30">
        <f>(SUM(HH_hh_gas_kWh,HH_rest_gas_kWh)/1000)*0.902</f>
        <v>21799.204655232767</v>
      </c>
      <c r="E5" s="17">
        <f>B46*B57</f>
        <v>2999.0627026031202</v>
      </c>
      <c r="F5" s="17">
        <f>B51*B62</f>
        <v>23936.309828725116</v>
      </c>
      <c r="G5" s="18"/>
      <c r="H5" s="17"/>
      <c r="I5" s="17"/>
      <c r="J5" s="17">
        <f>B50*B61+C50*C61</f>
        <v>0</v>
      </c>
      <c r="K5" s="17"/>
      <c r="L5" s="17"/>
      <c r="M5" s="17"/>
      <c r="N5" s="17">
        <f>B48*B59+C48*C59</f>
        <v>11288.471242254114</v>
      </c>
      <c r="O5" s="17">
        <f>B69*B70*B71</f>
        <v>212.61333333333334</v>
      </c>
      <c r="P5" s="17">
        <f>B77*B78*B79/1000-B77*B78*B79/1000/B80</f>
        <v>629.20000000000005</v>
      </c>
    </row>
    <row r="6" spans="1:16">
      <c r="A6" s="16" t="s">
        <v>621</v>
      </c>
      <c r="B6" s="788">
        <f>kWh_PV_kleiner_dan_10kW</f>
        <v>2112.6642613200588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13971.314715236758</v>
      </c>
      <c r="C8" s="21">
        <f>C5</f>
        <v>0</v>
      </c>
      <c r="D8" s="21">
        <f>D5</f>
        <v>21799.204655232767</v>
      </c>
      <c r="E8" s="21">
        <f>E5</f>
        <v>2999.0627026031202</v>
      </c>
      <c r="F8" s="21">
        <f>F5</f>
        <v>23936.309828725116</v>
      </c>
      <c r="G8" s="21"/>
      <c r="H8" s="21"/>
      <c r="I8" s="21"/>
      <c r="J8" s="21">
        <f>J5</f>
        <v>0</v>
      </c>
      <c r="K8" s="21"/>
      <c r="L8" s="21">
        <f>L5</f>
        <v>0</v>
      </c>
      <c r="M8" s="21">
        <f>M5</f>
        <v>0</v>
      </c>
      <c r="N8" s="21">
        <f>N5</f>
        <v>11288.471242254114</v>
      </c>
      <c r="O8" s="21">
        <f>O5</f>
        <v>212.61333333333334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0.20532480392630456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2868.6574544986811</v>
      </c>
      <c r="C12" s="23">
        <f ca="1">C10*C8</f>
        <v>0</v>
      </c>
      <c r="D12" s="23">
        <f>D8*D10</f>
        <v>4403.4393403570193</v>
      </c>
      <c r="E12" s="23">
        <f>E10*E8</f>
        <v>680.78723349090831</v>
      </c>
      <c r="F12" s="23">
        <f>F10*F8</f>
        <v>6390.9947242696062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3320</v>
      </c>
      <c r="C28" s="36"/>
      <c r="D28" s="228"/>
    </row>
    <row r="29" spans="1:7" s="15" customFormat="1">
      <c r="A29" s="230" t="s">
        <v>794</v>
      </c>
      <c r="B29" s="37">
        <f>SUM(HH_hh_gas_aantal,HH_rest_gas_aantal)</f>
        <v>1521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1521</v>
      </c>
      <c r="C32" s="167">
        <f>IF(ISERROR(B32/SUM($B$32,$B$34,$B$35,$B$36,$B$38,$B$39)*100),0,B32/SUM($B$32,$B$34,$B$35,$B$36,$B$38,$B$39)*100)</f>
        <v>46.273197444478257</v>
      </c>
      <c r="D32" s="233"/>
      <c r="G32" s="15"/>
    </row>
    <row r="33" spans="1:7">
      <c r="A33" s="171" t="s">
        <v>72</v>
      </c>
      <c r="B33" s="34" t="s">
        <v>111</v>
      </c>
      <c r="C33" s="167"/>
      <c r="D33" s="233"/>
      <c r="G33" s="15"/>
    </row>
    <row r="34" spans="1:7">
      <c r="A34" s="171" t="s">
        <v>73</v>
      </c>
      <c r="B34" s="33">
        <f>IF((($B$28-$B$32-$B$39-$B$77-$B$38)*C20/100)&lt;0,0,($B$28-$B$32-$B$39-$B$77-$B$38)*C20/100)</f>
        <v>141.64271356783919</v>
      </c>
      <c r="C34" s="167">
        <f>IF(ISERROR(B34/SUM($B$32,$B$34,$B$35,$B$36,$B$38,$B$39)*100),0,B34/SUM($B$32,$B$34,$B$35,$B$36,$B$38,$B$39)*100)</f>
        <v>4.3091789950666026</v>
      </c>
      <c r="D34" s="233"/>
      <c r="G34" s="15"/>
    </row>
    <row r="35" spans="1:7">
      <c r="A35" s="171" t="s">
        <v>74</v>
      </c>
      <c r="B35" s="33">
        <f>IF((($B$28-$B$32-$B$39-$B$77-$B$38)*C21/100)&lt;0,0,($B$28-$B$32-$B$39-$B$77-$B$38)*C21/100)</f>
        <v>543.31608040201002</v>
      </c>
      <c r="C35" s="167">
        <f>IF(ISERROR(B35/SUM($B$32,$B$34,$B$35,$B$36,$B$38,$B$39)*100),0,B35/SUM($B$32,$B$34,$B$35,$B$36,$B$38,$B$39)*100)</f>
        <v>16.529238831822639</v>
      </c>
      <c r="D35" s="233"/>
      <c r="G35" s="15"/>
    </row>
    <row r="36" spans="1:7">
      <c r="A36" s="171" t="s">
        <v>75</v>
      </c>
      <c r="B36" s="33">
        <f>IF((($B$28-$B$32-$B$39-$B$77-$B$38)*C22/100)&lt;0,0,($B$28-$B$32-$B$39-$B$77-$B$38)*C22/100)</f>
        <v>156.44120603015074</v>
      </c>
      <c r="C36" s="167">
        <f>IF(ISERROR(B36/SUM($B$32,$B$34,$B$35,$B$36,$B$38,$B$39)*100),0,B36/SUM($B$32,$B$34,$B$35,$B$36,$B$38,$B$39)*100)</f>
        <v>4.7593917258944556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924.6</v>
      </c>
      <c r="C39" s="167">
        <f>IF(ISERROR(B39/SUM($B$32,$B$34,$B$35,$B$36,$B$38,$B$39)*100),0,B39/SUM($B$32,$B$34,$B$35,$B$36,$B$38,$B$39)*100)</f>
        <v>28.128993002738063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1521</v>
      </c>
      <c r="C44" s="34" t="s">
        <v>111</v>
      </c>
      <c r="D44" s="174"/>
    </row>
    <row r="45" spans="1:7">
      <c r="A45" s="171" t="s">
        <v>72</v>
      </c>
      <c r="B45" s="33" t="str">
        <f t="shared" si="0"/>
        <v>-</v>
      </c>
      <c r="C45" s="34" t="s">
        <v>111</v>
      </c>
      <c r="D45" s="174"/>
    </row>
    <row r="46" spans="1:7">
      <c r="A46" s="171" t="s">
        <v>73</v>
      </c>
      <c r="B46" s="33">
        <f t="shared" si="0"/>
        <v>141.64271356783919</v>
      </c>
      <c r="C46" s="34" t="s">
        <v>111</v>
      </c>
      <c r="D46" s="174"/>
    </row>
    <row r="47" spans="1:7">
      <c r="A47" s="171" t="s">
        <v>74</v>
      </c>
      <c r="B47" s="33">
        <f t="shared" si="0"/>
        <v>543.31608040201002</v>
      </c>
      <c r="C47" s="34" t="s">
        <v>111</v>
      </c>
      <c r="D47" s="174"/>
    </row>
    <row r="48" spans="1:7">
      <c r="A48" s="171" t="s">
        <v>75</v>
      </c>
      <c r="B48" s="33">
        <f t="shared" si="0"/>
        <v>156.44120603015074</v>
      </c>
      <c r="C48" s="33">
        <f>B48*10</f>
        <v>1564.4120603015074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924.6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7100.887766818847</v>
      </c>
      <c r="C5" s="17">
        <f>IF(ISERROR('Eigen informatie GS &amp; warmtenet'!B58),0,'Eigen informatie GS &amp; warmtenet'!B58)</f>
        <v>0</v>
      </c>
      <c r="D5" s="30">
        <f>SUM(D6:D12)</f>
        <v>9350.7251400141613</v>
      </c>
      <c r="E5" s="17">
        <f>SUM(E6:E12)</f>
        <v>96.809655168249037</v>
      </c>
      <c r="F5" s="17">
        <f>SUM(F6:F12)</f>
        <v>1314.2751738024936</v>
      </c>
      <c r="G5" s="18"/>
      <c r="H5" s="17"/>
      <c r="I5" s="17"/>
      <c r="J5" s="17">
        <f>SUM(J6:J12)</f>
        <v>3.1565263148519228E-2</v>
      </c>
      <c r="K5" s="17"/>
      <c r="L5" s="17"/>
      <c r="M5" s="17"/>
      <c r="N5" s="17">
        <f>SUM(N6:N12)</f>
        <v>1257.7091547143248</v>
      </c>
      <c r="O5" s="17">
        <f>B38*B39*B40</f>
        <v>3.1266666666666669</v>
      </c>
      <c r="P5" s="17">
        <f>B46*B47*B48/1000-B46*B47*B48/1000/B49</f>
        <v>0</v>
      </c>
      <c r="R5" s="32"/>
    </row>
    <row r="6" spans="1:18">
      <c r="A6" s="32" t="s">
        <v>54</v>
      </c>
      <c r="B6" s="37">
        <f>B26</f>
        <v>797.42369349122805</v>
      </c>
      <c r="C6" s="33"/>
      <c r="D6" s="37">
        <f>IF(ISERROR(TER_kantoor_gas_kWh/1000),0,TER_kantoor_gas_kWh/1000)*0.902</f>
        <v>965.3339628160229</v>
      </c>
      <c r="E6" s="33">
        <f>$C$26*'E Balans VL '!I12/100/3.6*1000000</f>
        <v>4.99798649183759E-3</v>
      </c>
      <c r="F6" s="33">
        <f>$C$26*('E Balans VL '!L12+'E Balans VL '!N12)/100/3.6*1000000</f>
        <v>119.83049898860358</v>
      </c>
      <c r="G6" s="34"/>
      <c r="H6" s="33"/>
      <c r="I6" s="33"/>
      <c r="J6" s="33">
        <f>$C$26*('E Balans VL '!D12+'E Balans VL '!E12)/100/3.6*1000000</f>
        <v>0</v>
      </c>
      <c r="K6" s="33"/>
      <c r="L6" s="33"/>
      <c r="M6" s="33"/>
      <c r="N6" s="33">
        <f>$C$26*'E Balans VL '!Y12/100/3.6*1000000</f>
        <v>0.76261753178663283</v>
      </c>
      <c r="O6" s="33"/>
      <c r="P6" s="33"/>
      <c r="R6" s="32"/>
    </row>
    <row r="7" spans="1:18">
      <c r="A7" s="32" t="s">
        <v>53</v>
      </c>
      <c r="B7" s="37">
        <f t="shared" ref="B7:B12" si="0">B27</f>
        <v>429.60997746270999</v>
      </c>
      <c r="C7" s="33"/>
      <c r="D7" s="37">
        <f>IF(ISERROR(TER_horeca_gas_kWh/1000),0,TER_horeca_gas_kWh/1000)*0.902</f>
        <v>595.15090689680096</v>
      </c>
      <c r="E7" s="33">
        <f>$C$27*'E Balans VL '!I9/100/3.6*1000000</f>
        <v>6.1519433179043084</v>
      </c>
      <c r="F7" s="33">
        <f>$C$27*('E Balans VL '!L9+'E Balans VL '!N9)/100/3.6*1000000</f>
        <v>54.40279222971197</v>
      </c>
      <c r="G7" s="34"/>
      <c r="H7" s="33"/>
      <c r="I7" s="33"/>
      <c r="J7" s="33">
        <f>$C$27*('E Balans VL '!D9+'E Balans VL '!E9)/100/3.6*1000000</f>
        <v>0</v>
      </c>
      <c r="K7" s="33"/>
      <c r="L7" s="33"/>
      <c r="M7" s="33"/>
      <c r="N7" s="33">
        <f>$C$27*'E Balans VL '!Y9/100/3.6*1000000</f>
        <v>0.12350339643360686</v>
      </c>
      <c r="O7" s="33"/>
      <c r="P7" s="33"/>
      <c r="R7" s="32"/>
    </row>
    <row r="8" spans="1:18">
      <c r="A8" s="6" t="s">
        <v>52</v>
      </c>
      <c r="B8" s="37">
        <f t="shared" si="0"/>
        <v>1858.5799768202401</v>
      </c>
      <c r="C8" s="33"/>
      <c r="D8" s="37">
        <f>IF(ISERROR(TER_handel_gas_kWh/1000),0,TER_handel_gas_kWh/1000)*0.902</f>
        <v>434.28715137386899</v>
      </c>
      <c r="E8" s="33">
        <f>$C$28*'E Balans VL '!I13/100/3.6*1000000</f>
        <v>67.410466569455423</v>
      </c>
      <c r="F8" s="33">
        <f>$C$28*('E Balans VL '!L13+'E Balans VL '!N13)/100/3.6*1000000</f>
        <v>357.98132285433843</v>
      </c>
      <c r="G8" s="34"/>
      <c r="H8" s="33"/>
      <c r="I8" s="33"/>
      <c r="J8" s="33">
        <f>$C$28*('E Balans VL '!D13+'E Balans VL '!E13)/100/3.6*1000000</f>
        <v>0</v>
      </c>
      <c r="K8" s="33"/>
      <c r="L8" s="33"/>
      <c r="M8" s="33"/>
      <c r="N8" s="33">
        <f>$C$28*'E Balans VL '!Y13/100/3.6*1000000</f>
        <v>2.5745609080765179</v>
      </c>
      <c r="O8" s="33"/>
      <c r="P8" s="33"/>
      <c r="R8" s="32"/>
    </row>
    <row r="9" spans="1:18">
      <c r="A9" s="32" t="s">
        <v>51</v>
      </c>
      <c r="B9" s="37">
        <f t="shared" si="0"/>
        <v>1014.6273179294201</v>
      </c>
      <c r="C9" s="33"/>
      <c r="D9" s="37">
        <f>IF(ISERROR(TER_gezond_gas_kWh/1000),0,TER_gezond_gas_kWh/1000)*0.902</f>
        <v>2234.5636853801948</v>
      </c>
      <c r="E9" s="33">
        <f>$C$29*'E Balans VL '!I10/100/3.6*1000000</f>
        <v>6.3525687737355854E-2</v>
      </c>
      <c r="F9" s="33">
        <f>$C$29*('E Balans VL '!L10+'E Balans VL '!N10)/100/3.6*1000000</f>
        <v>150.72597732439422</v>
      </c>
      <c r="G9" s="34"/>
      <c r="H9" s="33"/>
      <c r="I9" s="33"/>
      <c r="J9" s="33">
        <f>$C$29*('E Balans VL '!D10+'E Balans VL '!E10)/100/3.6*1000000</f>
        <v>0</v>
      </c>
      <c r="K9" s="33"/>
      <c r="L9" s="33"/>
      <c r="M9" s="33"/>
      <c r="N9" s="33">
        <f>$C$29*'E Balans VL '!Y10/100/3.6*1000000</f>
        <v>15.694353256899673</v>
      </c>
      <c r="O9" s="33"/>
      <c r="P9" s="33"/>
      <c r="R9" s="32"/>
    </row>
    <row r="10" spans="1:18">
      <c r="A10" s="32" t="s">
        <v>50</v>
      </c>
      <c r="B10" s="37">
        <f t="shared" si="0"/>
        <v>1266.1915962662999</v>
      </c>
      <c r="C10" s="33"/>
      <c r="D10" s="37">
        <f>IF(ISERROR(TER_ander_gas_kWh/1000),0,TER_ander_gas_kWh/1000)*0.902</f>
        <v>884.75191636767863</v>
      </c>
      <c r="E10" s="33">
        <f>$C$30*'E Balans VL '!I14/100/3.6*1000000</f>
        <v>1.5092551367070166</v>
      </c>
      <c r="F10" s="33">
        <f>$C$30*('E Balans VL '!L14+'E Balans VL '!N14)/100/3.6*1000000</f>
        <v>331.2920120404047</v>
      </c>
      <c r="G10" s="34"/>
      <c r="H10" s="33"/>
      <c r="I10" s="33"/>
      <c r="J10" s="33">
        <f>$C$30*('E Balans VL '!D14+'E Balans VL '!E14)/100/3.6*1000000</f>
        <v>2.7484056220931388E-2</v>
      </c>
      <c r="K10" s="33"/>
      <c r="L10" s="33"/>
      <c r="M10" s="33"/>
      <c r="N10" s="33">
        <f>$C$30*'E Balans VL '!Y14/100/3.6*1000000</f>
        <v>1075.2189202771021</v>
      </c>
      <c r="O10" s="33"/>
      <c r="P10" s="33"/>
      <c r="R10" s="32"/>
    </row>
    <row r="11" spans="1:18">
      <c r="A11" s="32" t="s">
        <v>55</v>
      </c>
      <c r="B11" s="37">
        <f t="shared" si="0"/>
        <v>49.068298265999303</v>
      </c>
      <c r="C11" s="33"/>
      <c r="D11" s="37">
        <f>IF(ISERROR(TER_onderwijs_gas_kWh/1000),0,TER_onderwijs_gas_kWh/1000)*0.902</f>
        <v>236.46132844262419</v>
      </c>
      <c r="E11" s="33">
        <f>$C$31*'E Balans VL '!I11/100/3.6*1000000</f>
        <v>0.74036158882444247</v>
      </c>
      <c r="F11" s="33">
        <f>$C$31*('E Balans VL '!L11+'E Balans VL '!N11)/100/3.6*1000000</f>
        <v>8.5975497455883243</v>
      </c>
      <c r="G11" s="34"/>
      <c r="H11" s="33"/>
      <c r="I11" s="33"/>
      <c r="J11" s="33">
        <f>$C$31*('E Balans VL '!D11+'E Balans VL '!E11)/100/3.6*1000000</f>
        <v>0</v>
      </c>
      <c r="K11" s="33"/>
      <c r="L11" s="33"/>
      <c r="M11" s="33"/>
      <c r="N11" s="33">
        <f>$C$31*'E Balans VL '!Y11/100/3.6*1000000</f>
        <v>0.13808192163461352</v>
      </c>
      <c r="O11" s="33"/>
      <c r="P11" s="33"/>
      <c r="R11" s="32"/>
    </row>
    <row r="12" spans="1:18">
      <c r="A12" s="32" t="s">
        <v>260</v>
      </c>
      <c r="B12" s="37">
        <f t="shared" si="0"/>
        <v>1685.3869065829499</v>
      </c>
      <c r="C12" s="33"/>
      <c r="D12" s="37">
        <f>IF(ISERROR(TER_rest_gas_kWh/1000),0,TER_rest_gas_kWh/1000)*0.902</f>
        <v>4000.1761887369707</v>
      </c>
      <c r="E12" s="33">
        <f>$C$32*'E Balans VL '!I8/100/3.6*1000000</f>
        <v>20.929104881128662</v>
      </c>
      <c r="F12" s="33">
        <f>$C$32*('E Balans VL '!L8+'E Balans VL '!N8)/100/3.6*1000000</f>
        <v>291.44502061945229</v>
      </c>
      <c r="G12" s="34"/>
      <c r="H12" s="33"/>
      <c r="I12" s="33"/>
      <c r="J12" s="33">
        <f>$C$32*('E Balans VL '!D8+'E Balans VL '!E8)/100/3.6*1000000</f>
        <v>4.0812069275878429E-3</v>
      </c>
      <c r="K12" s="33"/>
      <c r="L12" s="33"/>
      <c r="M12" s="33"/>
      <c r="N12" s="33">
        <f>$C$32*'E Balans VL '!Y8/100/3.6*1000000</f>
        <v>163.19711742239161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7100.887766818847</v>
      </c>
      <c r="C16" s="21">
        <f t="shared" ca="1" si="1"/>
        <v>0</v>
      </c>
      <c r="D16" s="21">
        <f t="shared" ca="1" si="1"/>
        <v>9350.7251400141613</v>
      </c>
      <c r="E16" s="21">
        <f t="shared" si="1"/>
        <v>96.809655168249037</v>
      </c>
      <c r="F16" s="21">
        <f t="shared" ca="1" si="1"/>
        <v>1314.2751738024936</v>
      </c>
      <c r="G16" s="21">
        <f t="shared" si="1"/>
        <v>0</v>
      </c>
      <c r="H16" s="21">
        <f t="shared" si="1"/>
        <v>0</v>
      </c>
      <c r="I16" s="21">
        <f t="shared" si="1"/>
        <v>0</v>
      </c>
      <c r="J16" s="21">
        <f t="shared" si="1"/>
        <v>3.1565263148519228E-2</v>
      </c>
      <c r="K16" s="21">
        <f t="shared" si="1"/>
        <v>0</v>
      </c>
      <c r="L16" s="21">
        <f t="shared" ca="1" si="1"/>
        <v>0</v>
      </c>
      <c r="M16" s="21">
        <f t="shared" si="1"/>
        <v>0</v>
      </c>
      <c r="N16" s="21">
        <f t="shared" ca="1" si="1"/>
        <v>1257.7091547143248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0.20532480392630456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1457.9883884247745</v>
      </c>
      <c r="C20" s="23">
        <f t="shared" ref="C20:P20" ca="1" si="2">C16*C18</f>
        <v>0</v>
      </c>
      <c r="D20" s="23">
        <f t="shared" ca="1" si="2"/>
        <v>1888.8464782828607</v>
      </c>
      <c r="E20" s="23">
        <f t="shared" si="2"/>
        <v>21.975791723192533</v>
      </c>
      <c r="F20" s="23">
        <f t="shared" ca="1" si="2"/>
        <v>350.91147140526579</v>
      </c>
      <c r="G20" s="23">
        <f t="shared" si="2"/>
        <v>0</v>
      </c>
      <c r="H20" s="23">
        <f t="shared" si="2"/>
        <v>0</v>
      </c>
      <c r="I20" s="23">
        <f t="shared" si="2"/>
        <v>0</v>
      </c>
      <c r="J20" s="23">
        <f t="shared" si="2"/>
        <v>1.1174103154575806E-2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797.42369349122805</v>
      </c>
      <c r="C26" s="39">
        <f>IF(ISERROR(B26*3.6/1000000/'E Balans VL '!Z12*100),0,B26*3.6/1000000/'E Balans VL '!Z12*100)</f>
        <v>1.6856273659237291E-2</v>
      </c>
      <c r="D26" s="237" t="s">
        <v>754</v>
      </c>
      <c r="F26" s="6"/>
    </row>
    <row r="27" spans="1:18">
      <c r="A27" s="231" t="s">
        <v>53</v>
      </c>
      <c r="B27" s="33">
        <f>IF(ISERROR(TER_horeca_ele_kWh/1000),0,TER_horeca_ele_kWh/1000)</f>
        <v>429.60997746270999</v>
      </c>
      <c r="C27" s="39">
        <f>IF(ISERROR(B27*3.6/1000000/'E Balans VL '!Z9*100),0,B27*3.6/1000000/'E Balans VL '!Z9*100)</f>
        <v>3.3865994399572212E-2</v>
      </c>
      <c r="D27" s="237" t="s">
        <v>754</v>
      </c>
      <c r="F27" s="6"/>
    </row>
    <row r="28" spans="1:18">
      <c r="A28" s="171" t="s">
        <v>52</v>
      </c>
      <c r="B28" s="33">
        <f>IF(ISERROR(TER_handel_ele_kWh/1000),0,TER_handel_ele_kWh/1000)</f>
        <v>1858.5799768202401</v>
      </c>
      <c r="C28" s="39">
        <f>IF(ISERROR(B28*3.6/1000000/'E Balans VL '!Z13*100),0,B28*3.6/1000000/'E Balans VL '!Z13*100)</f>
        <v>5.394350043191555E-2</v>
      </c>
      <c r="D28" s="237" t="s">
        <v>754</v>
      </c>
      <c r="F28" s="6"/>
    </row>
    <row r="29" spans="1:18">
      <c r="A29" s="231" t="s">
        <v>51</v>
      </c>
      <c r="B29" s="33">
        <f>IF(ISERROR(TER_gezond_ele_kWh/1000),0,TER_gezond_ele_kWh/1000)</f>
        <v>1014.6273179294201</v>
      </c>
      <c r="C29" s="39">
        <f>IF(ISERROR(B29*3.6/1000000/'E Balans VL '!Z10*100),0,B29*3.6/1000000/'E Balans VL '!Z10*100)</f>
        <v>0.10685691719830431</v>
      </c>
      <c r="D29" s="237" t="s">
        <v>754</v>
      </c>
      <c r="F29" s="6"/>
    </row>
    <row r="30" spans="1:18">
      <c r="A30" s="231" t="s">
        <v>50</v>
      </c>
      <c r="B30" s="33">
        <f>IF(ISERROR(TER_ander_ele_kWh/1000),0,TER_ander_ele_kWh/1000)</f>
        <v>1266.1915962662999</v>
      </c>
      <c r="C30" s="39">
        <f>IF(ISERROR(B30*3.6/1000000/'E Balans VL '!Z14*100),0,B30*3.6/1000000/'E Balans VL '!Z14*100)</f>
        <v>9.3394567156048977E-2</v>
      </c>
      <c r="D30" s="237" t="s">
        <v>754</v>
      </c>
      <c r="F30" s="6"/>
    </row>
    <row r="31" spans="1:18">
      <c r="A31" s="231" t="s">
        <v>55</v>
      </c>
      <c r="B31" s="33">
        <f>IF(ISERROR(TER_onderwijs_ele_kWh/1000),0,TER_onderwijs_ele_kWh/1000)</f>
        <v>49.068298265999303</v>
      </c>
      <c r="C31" s="39">
        <f>IF(ISERROR(B31*3.6/1000000/'E Balans VL '!Z11*100),0,B31*3.6/1000000/'E Balans VL '!Z11*100)</f>
        <v>1.2185956953901478E-2</v>
      </c>
      <c r="D31" s="237" t="s">
        <v>754</v>
      </c>
    </row>
    <row r="32" spans="1:18">
      <c r="A32" s="231" t="s">
        <v>260</v>
      </c>
      <c r="B32" s="33">
        <f>IF(ISERROR(TER_rest_ele_kWh/1000),0,TER_rest_ele_kWh/1000)</f>
        <v>1685.3869065829499</v>
      </c>
      <c r="C32" s="39">
        <f>IF(ISERROR(B32*3.6/1000000/'E Balans VL '!Z8*100),0,B32*3.6/1000000/'E Balans VL '!Z8*100)</f>
        <v>1.3868497117468718E-2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12799.304870669057</v>
      </c>
      <c r="C5" s="17">
        <f>IF(ISERROR('Eigen informatie GS &amp; warmtenet'!B59),0,'Eigen informatie GS &amp; warmtenet'!B59)</f>
        <v>0</v>
      </c>
      <c r="D5" s="30">
        <f>SUM(D6:D15)</f>
        <v>1414.5550850172115</v>
      </c>
      <c r="E5" s="17">
        <f>SUM(E6:E15)</f>
        <v>971.33177972912347</v>
      </c>
      <c r="F5" s="17">
        <f>SUM(F6:F15)</f>
        <v>3229.7467874266486</v>
      </c>
      <c r="G5" s="18"/>
      <c r="H5" s="17"/>
      <c r="I5" s="17"/>
      <c r="J5" s="17">
        <f>SUM(J6:J15)</f>
        <v>34.534181931267717</v>
      </c>
      <c r="K5" s="17"/>
      <c r="L5" s="17"/>
      <c r="M5" s="17"/>
      <c r="N5" s="17">
        <f>SUM(N6:N15)</f>
        <v>2806.9027532917366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297.64801207066603</v>
      </c>
      <c r="C8" s="33"/>
      <c r="D8" s="37">
        <f>IF( ISERROR(IND_metaal_Gas_kWH/1000),0,IND_metaal_Gas_kWH/1000)*0.902</f>
        <v>0</v>
      </c>
      <c r="E8" s="33">
        <f>C30*'E Balans VL '!I18/100/3.6*1000000</f>
        <v>2.7365859998058575</v>
      </c>
      <c r="F8" s="33">
        <f>C30*'E Balans VL '!L18/100/3.6*1000000+C30*'E Balans VL '!N18/100/3.6*1000000</f>
        <v>27.909473826800824</v>
      </c>
      <c r="G8" s="34"/>
      <c r="H8" s="33"/>
      <c r="I8" s="33"/>
      <c r="J8" s="40">
        <f>C30*'E Balans VL '!D18/100/3.6*1000000+C30*'E Balans VL '!E18/100/3.6*1000000</f>
        <v>0</v>
      </c>
      <c r="K8" s="33"/>
      <c r="L8" s="33"/>
      <c r="M8" s="33"/>
      <c r="N8" s="33">
        <f>C30*'E Balans VL '!Y18/100/3.6*1000000</f>
        <v>4.2464407762417506</v>
      </c>
      <c r="O8" s="33"/>
      <c r="P8" s="33"/>
      <c r="R8" s="32"/>
    </row>
    <row r="9" spans="1:18">
      <c r="A9" s="6" t="s">
        <v>33</v>
      </c>
      <c r="B9" s="37">
        <f t="shared" si="0"/>
        <v>1478.8145322709399</v>
      </c>
      <c r="C9" s="33"/>
      <c r="D9" s="37">
        <f>IF( ISERROR(IND_andere_gas_kWh/1000),0,IND_andere_gas_kWh/1000)*0.902</f>
        <v>513.27158661661133</v>
      </c>
      <c r="E9" s="33">
        <f>C31*'E Balans VL '!I19/100/3.6*1000000</f>
        <v>432.28627690608164</v>
      </c>
      <c r="F9" s="33">
        <f>C31*'E Balans VL '!L19/100/3.6*1000000+C31*'E Balans VL '!N19/100/3.6*1000000</f>
        <v>1188.3394126544531</v>
      </c>
      <c r="G9" s="34"/>
      <c r="H9" s="33"/>
      <c r="I9" s="33"/>
      <c r="J9" s="40">
        <f>C31*'E Balans VL '!D19/100/3.6*1000000+C31*'E Balans VL '!E19/100/3.6*1000000</f>
        <v>0</v>
      </c>
      <c r="K9" s="33"/>
      <c r="L9" s="33"/>
      <c r="M9" s="33"/>
      <c r="N9" s="33">
        <f>C31*'E Balans VL '!Y19/100/3.6*1000000</f>
        <v>488.62325624963631</v>
      </c>
      <c r="O9" s="33"/>
      <c r="P9" s="33"/>
      <c r="R9" s="32"/>
    </row>
    <row r="10" spans="1:18">
      <c r="A10" s="6" t="s">
        <v>41</v>
      </c>
      <c r="B10" s="37">
        <f t="shared" si="0"/>
        <v>182.882478547104</v>
      </c>
      <c r="C10" s="33"/>
      <c r="D10" s="37">
        <f>IF( ISERROR(IND_voed_gas_kWh/1000),0,IND_voed_gas_kWh/1000)*0.902</f>
        <v>293.32750484095942</v>
      </c>
      <c r="E10" s="33">
        <f>C32*'E Balans VL '!I20/100/3.6*1000000</f>
        <v>0.38689071899281319</v>
      </c>
      <c r="F10" s="33">
        <f>C32*'E Balans VL '!L20/100/3.6*1000000+C32*'E Balans VL '!N20/100/3.6*1000000</f>
        <v>11.627854794998621</v>
      </c>
      <c r="G10" s="34"/>
      <c r="H10" s="33"/>
      <c r="I10" s="33"/>
      <c r="J10" s="40">
        <f>C32*'E Balans VL '!D20/100/3.6*1000000+C32*'E Balans VL '!E20/100/3.6*1000000</f>
        <v>0</v>
      </c>
      <c r="K10" s="33"/>
      <c r="L10" s="33"/>
      <c r="M10" s="33"/>
      <c r="N10" s="33">
        <f>C32*'E Balans VL '!Y20/100/3.6*1000000</f>
        <v>12.620695748146264</v>
      </c>
      <c r="O10" s="33"/>
      <c r="P10" s="33"/>
      <c r="R10" s="32"/>
    </row>
    <row r="11" spans="1:18">
      <c r="A11" s="6" t="s">
        <v>40</v>
      </c>
      <c r="B11" s="37">
        <f t="shared" si="0"/>
        <v>866.392731888458</v>
      </c>
      <c r="C11" s="33"/>
      <c r="D11" s="37">
        <f>IF( ISERROR(IND_textiel_gas_kWh/1000),0,IND_textiel_gas_kWh/1000)*0.902</f>
        <v>0</v>
      </c>
      <c r="E11" s="33">
        <f>C33*'E Balans VL '!I21/100/3.6*1000000</f>
        <v>2.5731117162952089</v>
      </c>
      <c r="F11" s="33">
        <f>C33*'E Balans VL '!L21/100/3.6*1000000+C33*'E Balans VL '!N21/100/3.6*1000000</f>
        <v>87.529451967828123</v>
      </c>
      <c r="G11" s="34"/>
      <c r="H11" s="33"/>
      <c r="I11" s="33"/>
      <c r="J11" s="40">
        <f>C33*'E Balans VL '!D21/100/3.6*1000000+C33*'E Balans VL '!E21/100/3.6*1000000</f>
        <v>0</v>
      </c>
      <c r="K11" s="33"/>
      <c r="L11" s="33"/>
      <c r="M11" s="33"/>
      <c r="N11" s="33">
        <f>C33*'E Balans VL '!Y21/100/3.6*1000000</f>
        <v>47.784324129776657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28.677614510616799</v>
      </c>
      <c r="C13" s="33"/>
      <c r="D13" s="37">
        <f>IF( ISERROR(IND_papier_gas_kWh/1000),0,IND_papier_gas_kWh/1000)*0.902</f>
        <v>116.88429655085994</v>
      </c>
      <c r="E13" s="33">
        <f>C35*'E Balans VL '!I23/100/3.6*1000000</f>
        <v>4.0686976471040318E-2</v>
      </c>
      <c r="F13" s="33">
        <f>C35*'E Balans VL '!L23/100/3.6*1000000+C35*'E Balans VL '!N23/100/3.6*1000000</f>
        <v>0.70012840498730011</v>
      </c>
      <c r="G13" s="34"/>
      <c r="H13" s="33"/>
      <c r="I13" s="33"/>
      <c r="J13" s="40">
        <f>C35*'E Balans VL '!D23/100/3.6*1000000+C35*'E Balans VL '!E23/100/3.6*1000000</f>
        <v>4.4352623259188264E-3</v>
      </c>
      <c r="K13" s="33"/>
      <c r="L13" s="33"/>
      <c r="M13" s="33"/>
      <c r="N13" s="33">
        <f>C35*'E Balans VL '!Y23/100/3.6*1000000</f>
        <v>83.359036924732592</v>
      </c>
      <c r="O13" s="33"/>
      <c r="P13" s="33"/>
      <c r="R13" s="32"/>
    </row>
    <row r="14" spans="1:18">
      <c r="A14" s="6" t="s">
        <v>34</v>
      </c>
      <c r="B14" s="37">
        <f t="shared" si="0"/>
        <v>299.65763571628003</v>
      </c>
      <c r="C14" s="33"/>
      <c r="D14" s="37">
        <f>IF( ISERROR(IND_chemie_gas_kWh/1000),0,IND_chemie_gas_kWh/1000)*0.902</f>
        <v>0</v>
      </c>
      <c r="E14" s="33">
        <f>C36*'E Balans VL '!I24/100/3.6*1000000</f>
        <v>0.73767124158550079</v>
      </c>
      <c r="F14" s="33">
        <f>C36*'E Balans VL '!L24/100/3.6*1000000+C36*'E Balans VL '!N24/100/3.6*1000000</f>
        <v>3.2087199090411782</v>
      </c>
      <c r="G14" s="34"/>
      <c r="H14" s="33"/>
      <c r="I14" s="33"/>
      <c r="J14" s="40">
        <f>C36*'E Balans VL '!D24/100/3.6*1000000+C36*'E Balans VL '!E24/100/3.6*1000000</f>
        <v>0</v>
      </c>
      <c r="K14" s="33"/>
      <c r="L14" s="33"/>
      <c r="M14" s="33"/>
      <c r="N14" s="33">
        <f>C36*'E Balans VL '!Y24/100/3.6*1000000</f>
        <v>6.692094717375519</v>
      </c>
      <c r="O14" s="33"/>
      <c r="P14" s="33"/>
      <c r="R14" s="32"/>
    </row>
    <row r="15" spans="1:18">
      <c r="A15" s="6" t="s">
        <v>270</v>
      </c>
      <c r="B15" s="37">
        <f t="shared" si="0"/>
        <v>9645.2318656649913</v>
      </c>
      <c r="C15" s="33"/>
      <c r="D15" s="37">
        <f>IF( ISERROR(IND_rest_gas_kWh/1000),0,IND_rest_gas_kWh/1000)*0.902</f>
        <v>491.07169700878086</v>
      </c>
      <c r="E15" s="33">
        <f>C37*'E Balans VL '!I15/100/3.6*1000000</f>
        <v>532.57055616989146</v>
      </c>
      <c r="F15" s="33">
        <f>C37*'E Balans VL '!L15/100/3.6*1000000+C37*'E Balans VL '!N15/100/3.6*1000000</f>
        <v>1910.4317458685391</v>
      </c>
      <c r="G15" s="34"/>
      <c r="H15" s="33"/>
      <c r="I15" s="33"/>
      <c r="J15" s="40">
        <f>C37*'E Balans VL '!D15/100/3.6*1000000+C37*'E Balans VL '!E15/100/3.6*1000000</f>
        <v>34.529746668941797</v>
      </c>
      <c r="K15" s="33"/>
      <c r="L15" s="33"/>
      <c r="M15" s="33"/>
      <c r="N15" s="33">
        <f>C37*'E Balans VL '!Y15/100/3.6*1000000</f>
        <v>2163.5769047458275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12799.304870669057</v>
      </c>
      <c r="C18" s="21">
        <f>C5+C16</f>
        <v>0</v>
      </c>
      <c r="D18" s="21">
        <f>MAX((D5+D16),0)</f>
        <v>1414.5550850172115</v>
      </c>
      <c r="E18" s="21">
        <f>MAX((E5+E16),0)</f>
        <v>971.33177972912347</v>
      </c>
      <c r="F18" s="21">
        <f>MAX((F5+F16),0)</f>
        <v>3229.7467874266486</v>
      </c>
      <c r="G18" s="21"/>
      <c r="H18" s="21"/>
      <c r="I18" s="21"/>
      <c r="J18" s="21">
        <f>MAX((J5+J16),0)</f>
        <v>34.534181931267717</v>
      </c>
      <c r="K18" s="21"/>
      <c r="L18" s="21">
        <f>MAX((L5+L16),0)</f>
        <v>0</v>
      </c>
      <c r="M18" s="21"/>
      <c r="N18" s="21">
        <f>MAX((N5+N16),0)</f>
        <v>2806.9027532917366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0.20532480392630456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2628.0147629631192</v>
      </c>
      <c r="C22" s="23">
        <f ca="1">C18*C20</f>
        <v>0</v>
      </c>
      <c r="D22" s="23">
        <f>D18*D20</f>
        <v>285.74012717347671</v>
      </c>
      <c r="E22" s="23">
        <f>E18*E20</f>
        <v>220.49231399851104</v>
      </c>
      <c r="F22" s="23">
        <f>F18*F20</f>
        <v>862.34239224291525</v>
      </c>
      <c r="G22" s="23"/>
      <c r="H22" s="23"/>
      <c r="I22" s="23"/>
      <c r="J22" s="23">
        <f>J18*J20</f>
        <v>12.225100403668771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297.64801207066603</v>
      </c>
      <c r="C30" s="39">
        <f>IF(ISERROR(B30*3.6/1000000/'E Balans VL '!Z18*100),0,B30*3.6/1000000/'E Balans VL '!Z18*100)</f>
        <v>1.6868476063465837E-2</v>
      </c>
      <c r="D30" s="237" t="s">
        <v>754</v>
      </c>
    </row>
    <row r="31" spans="1:18">
      <c r="A31" s="6" t="s">
        <v>33</v>
      </c>
      <c r="B31" s="37">
        <f>IF( ISERROR(IND_ander_ele_kWh/1000),0,IND_ander_ele_kWh/1000)</f>
        <v>1478.8145322709399</v>
      </c>
      <c r="C31" s="39">
        <f>IF(ISERROR(B31*3.6/1000000/'E Balans VL '!Z19*100),0,B31*3.6/1000000/'E Balans VL '!Z19*100)</f>
        <v>6.7072869507269942E-2</v>
      </c>
      <c r="D31" s="237" t="s">
        <v>754</v>
      </c>
    </row>
    <row r="32" spans="1:18">
      <c r="A32" s="171" t="s">
        <v>41</v>
      </c>
      <c r="B32" s="37">
        <f>IF( ISERROR(IND_voed_ele_kWh/1000),0,IND_voed_ele_kWh/1000)</f>
        <v>182.882478547104</v>
      </c>
      <c r="C32" s="39">
        <f>IF(ISERROR(B32*3.6/1000000/'E Balans VL '!Z20*100),0,B32*3.6/1000000/'E Balans VL '!Z20*100)</f>
        <v>5.6573852778148033E-3</v>
      </c>
      <c r="D32" s="237" t="s">
        <v>754</v>
      </c>
    </row>
    <row r="33" spans="1:5">
      <c r="A33" s="171" t="s">
        <v>40</v>
      </c>
      <c r="B33" s="37">
        <f>IF( ISERROR(IND_textiel_ele_kWh/1000),0,IND_textiel_ele_kWh/1000)</f>
        <v>866.392731888458</v>
      </c>
      <c r="C33" s="39">
        <f>IF(ISERROR(B33*3.6/1000000/'E Balans VL '!Z21*100),0,B33*3.6/1000000/'E Balans VL '!Z21*100)</f>
        <v>0.11296798179265639</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28.677614510616799</v>
      </c>
      <c r="C35" s="39">
        <f>IF(ISERROR(B35*3.6/1000000/'E Balans VL '!Z22*100),0,B35*3.6/1000000/'E Balans VL '!Z22*100)</f>
        <v>5.1582081191917763E-3</v>
      </c>
      <c r="D35" s="237" t="s">
        <v>754</v>
      </c>
    </row>
    <row r="36" spans="1:5">
      <c r="A36" s="171" t="s">
        <v>34</v>
      </c>
      <c r="B36" s="37">
        <f>IF( ISERROR(IND_chemie_ele_kWh/1000),0,IND_chemie_ele_kWh/1000)</f>
        <v>299.65763571628003</v>
      </c>
      <c r="C36" s="39">
        <f>IF(ISERROR(B36*3.6/1000000/'E Balans VL '!Z24*100),0,B36*3.6/1000000/'E Balans VL '!Z24*100)</f>
        <v>9.1377673953725695E-3</v>
      </c>
      <c r="D36" s="237" t="s">
        <v>754</v>
      </c>
    </row>
    <row r="37" spans="1:5">
      <c r="A37" s="171" t="s">
        <v>270</v>
      </c>
      <c r="B37" s="37">
        <f>IF( ISERROR(IND_rest_ele_kWh/1000),0,IND_rest_ele_kWh/1000)</f>
        <v>9645.2318656649913</v>
      </c>
      <c r="C37" s="39">
        <f>IF(ISERROR(B37*3.6/1000000/'E Balans VL '!Z15*100),0,B37*3.6/1000000/'E Balans VL '!Z15*100)</f>
        <v>7.6450308006687423E-2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2808.9084375785737</v>
      </c>
      <c r="C5" s="17">
        <f>'Eigen informatie GS &amp; warmtenet'!B60</f>
        <v>0</v>
      </c>
      <c r="D5" s="30">
        <f>IF(ISERROR(SUM(LB_lb_gas_kWh,LB_rest_gas_kWh)/1000),0,SUM(LB_lb_gas_kWh,LB_rest_gas_kWh)/1000)*0.902</f>
        <v>68.965706595653415</v>
      </c>
      <c r="E5" s="17">
        <f>B17*'E Balans VL '!I25/3.6*1000000/100</f>
        <v>82.562398377049462</v>
      </c>
      <c r="F5" s="17">
        <f>B17*('E Balans VL '!L25/3.6*1000000+'E Balans VL '!N25/3.6*1000000)/100</f>
        <v>11701.760765507237</v>
      </c>
      <c r="G5" s="18"/>
      <c r="H5" s="17"/>
      <c r="I5" s="17"/>
      <c r="J5" s="17">
        <f>('E Balans VL '!D25+'E Balans VL '!E25)/3.6*1000000*landbouw!B17/100</f>
        <v>406.95051060593926</v>
      </c>
      <c r="K5" s="17"/>
      <c r="L5" s="17">
        <f>L6*(-1)</f>
        <v>0</v>
      </c>
      <c r="M5" s="17"/>
      <c r="N5" s="17">
        <f>N6*(-1)</f>
        <v>0</v>
      </c>
      <c r="O5" s="17"/>
      <c r="P5" s="17"/>
      <c r="R5" s="32"/>
    </row>
    <row r="6" spans="1:18">
      <c r="A6" s="16" t="s">
        <v>488</v>
      </c>
      <c r="B6" s="17" t="s">
        <v>211</v>
      </c>
      <c r="C6" s="17">
        <f>'lokale energieproductie'!O92+'lokale energieproductie'!O61</f>
        <v>6467.1428571428569</v>
      </c>
      <c r="D6" s="310">
        <f>('lokale energieproductie'!P61+'lokale energieproductie'!P92)*(-1)</f>
        <v>-12934.285714285716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2808.9084375785737</v>
      </c>
      <c r="C8" s="21">
        <f>C5+C6</f>
        <v>6467.1428571428569</v>
      </c>
      <c r="D8" s="21">
        <f>MAX((D5+D6),0)</f>
        <v>0</v>
      </c>
      <c r="E8" s="21">
        <f>MAX((E5+E6),0)</f>
        <v>82.562398377049462</v>
      </c>
      <c r="F8" s="21">
        <f>MAX((F5+F6),0)</f>
        <v>11701.760765507237</v>
      </c>
      <c r="G8" s="21"/>
      <c r="H8" s="21"/>
      <c r="I8" s="21"/>
      <c r="J8" s="21">
        <f>MAX((J5+J6),0)</f>
        <v>406.95051060593926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0.20532480392630456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576.73857419276317</v>
      </c>
      <c r="C12" s="23">
        <f ca="1">C8*C10</f>
        <v>1536.8974789915969</v>
      </c>
      <c r="D12" s="23">
        <f>D8*D10</f>
        <v>0</v>
      </c>
      <c r="E12" s="23">
        <f>E8*E10</f>
        <v>18.741664431590227</v>
      </c>
      <c r="F12" s="23">
        <f>F8*F10</f>
        <v>3124.3701243904325</v>
      </c>
      <c r="G12" s="23"/>
      <c r="H12" s="23"/>
      <c r="I12" s="23"/>
      <c r="J12" s="23">
        <f>J8*J10</f>
        <v>144.06048075450249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0.3985929199738632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385.17887866545897</v>
      </c>
      <c r="C26" s="247">
        <f>B26*'GWP N2O_CH4'!B5</f>
        <v>8088.7564519746384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238.41161964745351</v>
      </c>
      <c r="C27" s="247">
        <f>B27*'GWP N2O_CH4'!B5</f>
        <v>5006.6440125965237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5.5086378758165644</v>
      </c>
      <c r="C28" s="247">
        <f>B28*'GWP N2O_CH4'!B4</f>
        <v>1707.6777415031349</v>
      </c>
      <c r="D28" s="50"/>
    </row>
    <row r="29" spans="1:4">
      <c r="A29" s="41" t="s">
        <v>277</v>
      </c>
      <c r="B29" s="247">
        <f>B34*'ha_N2O bodem landbouw'!B4</f>
        <v>11.156575700211761</v>
      </c>
      <c r="C29" s="247">
        <f>B29*'GWP N2O_CH4'!B4</f>
        <v>3458.5384670656458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2.545892127518054E-3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4.7418342330283186E-5</v>
      </c>
      <c r="C5" s="463" t="s">
        <v>211</v>
      </c>
      <c r="D5" s="448">
        <f>SUM(D6:D11)</f>
        <v>1.7500993281173362E-4</v>
      </c>
      <c r="E5" s="448">
        <f>SUM(E6:E11)</f>
        <v>2.3152652191334676E-4</v>
      </c>
      <c r="F5" s="461" t="s">
        <v>211</v>
      </c>
      <c r="G5" s="448">
        <f>SUM(G6:G11)</f>
        <v>0.10475798654605227</v>
      </c>
      <c r="H5" s="448">
        <f>SUM(H6:H11)</f>
        <v>1.9678885121550471E-2</v>
      </c>
      <c r="I5" s="463" t="s">
        <v>211</v>
      </c>
      <c r="J5" s="463" t="s">
        <v>211</v>
      </c>
      <c r="K5" s="463" t="s">
        <v>211</v>
      </c>
      <c r="L5" s="463" t="s">
        <v>211</v>
      </c>
      <c r="M5" s="448">
        <f>SUM(M6:M11)</f>
        <v>6.7010940073182305E-3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3.3370389328840692E-5</v>
      </c>
      <c r="C6" s="449"/>
      <c r="D6" s="892">
        <f>vkm_2011_GW_PW*SUMIFS(TableVerdeelsleutelVkm[CNG],TableVerdeelsleutelVkm[Voertuigtype],"Lichte voertuigen")*SUMIFS(TableECFTransport[EnergieConsumptieFactor (PJ per km)],TableECFTransport[Index],CONCATENATE($A6,"_CNG_CNG"))</f>
        <v>1.0009201512521049E-4</v>
      </c>
      <c r="E6" s="892">
        <f>vkm_2011_GW_PW*SUMIFS(TableVerdeelsleutelVkm[LPG],TableVerdeelsleutelVkm[Voertuigtype],"Lichte voertuigen")*SUMIFS(TableECFTransport[EnergieConsumptieFactor (PJ per km)],TableECFTransport[Index],CONCATENATE($A6,"_LPG_LPG"))</f>
        <v>1.3674007017045419E-4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3.5354713883837215E-2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1.1384315008136752E-2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2.4014170081218499E-3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3.4398583233609843E-2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1.0483989186841319E-5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2.010137149939745E-3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1.4047953001442495E-5</v>
      </c>
      <c r="C8" s="449"/>
      <c r="D8" s="451">
        <f>vkm_2011_NGW_PW*SUMIFS(TableVerdeelsleutelVkm[CNG],TableVerdeelsleutelVkm[Voertuigtype],"Lichte voertuigen")*SUMIFS(TableECFTransport[EnergieConsumptieFactor (PJ per km)],TableECFTransport[Index],CONCATENATE($A8,"_CNG_CNG"))</f>
        <v>7.4917917686523114E-5</v>
      </c>
      <c r="E8" s="451">
        <f>vkm_2011_NGW_PW*SUMIFS(TableVerdeelsleutelVkm[LPG],TableVerdeelsleutelVkm[Voertuigtype],"Lichte voertuigen")*SUMIFS(TableECFTransport[EnergieConsumptieFactor (PJ per km)],TableECFTransport[Index],CONCATENATE($A8,"_LPG_LPG"))</f>
        <v>9.4786451742892575E-5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2.283833291381307E-2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8.2805953078963421E-3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1.5785854279747073E-3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1.2166356514792144E-2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3.4908163305327374E-6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7.1095442128192793E-4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13.171761758411996</v>
      </c>
      <c r="C14" s="21"/>
      <c r="D14" s="21">
        <f t="shared" ref="D14:M14" si="0">((D5)*10^9/3600)+D12</f>
        <v>48.613870225481563</v>
      </c>
      <c r="E14" s="21">
        <f t="shared" si="0"/>
        <v>64.312922753707426</v>
      </c>
      <c r="F14" s="21"/>
      <c r="G14" s="21">
        <f t="shared" si="0"/>
        <v>29099.440707236743</v>
      </c>
      <c r="H14" s="21">
        <f t="shared" si="0"/>
        <v>5466.3569782084642</v>
      </c>
      <c r="I14" s="21"/>
      <c r="J14" s="21"/>
      <c r="K14" s="21"/>
      <c r="L14" s="21"/>
      <c r="M14" s="21">
        <f t="shared" si="0"/>
        <v>1861.4150020328418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0.20532480392630456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2.7044894004099396</v>
      </c>
      <c r="C18" s="23"/>
      <c r="D18" s="23">
        <f t="shared" ref="D18:M18" si="1">D14*D16</f>
        <v>9.8200017855472765</v>
      </c>
      <c r="E18" s="23">
        <f t="shared" si="1"/>
        <v>14.599033465091587</v>
      </c>
      <c r="F18" s="23"/>
      <c r="G18" s="23">
        <f t="shared" si="1"/>
        <v>7769.5506688322112</v>
      </c>
      <c r="H18" s="23">
        <f t="shared" si="1"/>
        <v>1361.1228875739075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5.1170078962907894E-4</v>
      </c>
      <c r="H50" s="321">
        <f t="shared" si="2"/>
        <v>0</v>
      </c>
      <c r="I50" s="321">
        <f t="shared" si="2"/>
        <v>0</v>
      </c>
      <c r="J50" s="321">
        <f t="shared" si="2"/>
        <v>0</v>
      </c>
      <c r="K50" s="321">
        <f t="shared" si="2"/>
        <v>0</v>
      </c>
      <c r="L50" s="321">
        <f t="shared" si="2"/>
        <v>0</v>
      </c>
      <c r="M50" s="321">
        <f t="shared" si="2"/>
        <v>2.9062345908709818E-5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5.1170078962907894E-4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2.9062345908709818E-5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142.13910823029971</v>
      </c>
      <c r="H54" s="21">
        <f t="shared" si="3"/>
        <v>0</v>
      </c>
      <c r="I54" s="21">
        <f t="shared" si="3"/>
        <v>0</v>
      </c>
      <c r="J54" s="21">
        <f t="shared" si="3"/>
        <v>0</v>
      </c>
      <c r="K54" s="21">
        <f t="shared" si="3"/>
        <v>0</v>
      </c>
      <c r="L54" s="21">
        <f t="shared" si="3"/>
        <v>0</v>
      </c>
      <c r="M54" s="21">
        <f t="shared" si="3"/>
        <v>8.0728738635305053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0.20532480392630456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37.951141897490025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7728.8707668188472</v>
      </c>
      <c r="D10" s="1013">
        <f ca="1">tertiair!C16</f>
        <v>0</v>
      </c>
      <c r="E10" s="1013">
        <f ca="1">tertiair!D16</f>
        <v>9350.7251400141613</v>
      </c>
      <c r="F10" s="1013">
        <f>tertiair!E16</f>
        <v>96.809655168249037</v>
      </c>
      <c r="G10" s="1013">
        <f ca="1">tertiair!F16</f>
        <v>1314.2751738024936</v>
      </c>
      <c r="H10" s="1013">
        <f>tertiair!G16</f>
        <v>0</v>
      </c>
      <c r="I10" s="1013">
        <f>tertiair!H16</f>
        <v>0</v>
      </c>
      <c r="J10" s="1013">
        <f>tertiair!I16</f>
        <v>0</v>
      </c>
      <c r="K10" s="1013">
        <f>tertiair!J16</f>
        <v>3.1565263148519228E-2</v>
      </c>
      <c r="L10" s="1013">
        <f>tertiair!K16</f>
        <v>0</v>
      </c>
      <c r="M10" s="1013">
        <f ca="1">tertiair!L16</f>
        <v>0</v>
      </c>
      <c r="N10" s="1013">
        <f>tertiair!M16</f>
        <v>0</v>
      </c>
      <c r="O10" s="1013">
        <f ca="1">tertiair!N16</f>
        <v>1257.7091547143248</v>
      </c>
      <c r="P10" s="1013">
        <f>tertiair!O16</f>
        <v>3.1266666666666669</v>
      </c>
      <c r="Q10" s="1014">
        <f>tertiair!P16</f>
        <v>0</v>
      </c>
      <c r="R10" s="700">
        <f ca="1">SUM(C10:Q10)</f>
        <v>19751.54812244789</v>
      </c>
      <c r="S10" s="67"/>
    </row>
    <row r="11" spans="1:19" s="473" customFormat="1">
      <c r="A11" s="809" t="s">
        <v>225</v>
      </c>
      <c r="B11" s="814"/>
      <c r="C11" s="1013">
        <f>huishoudens!B8</f>
        <v>13971.314715236758</v>
      </c>
      <c r="D11" s="1013">
        <f>huishoudens!C8</f>
        <v>0</v>
      </c>
      <c r="E11" s="1013">
        <f>huishoudens!D8</f>
        <v>21799.204655232767</v>
      </c>
      <c r="F11" s="1013">
        <f>huishoudens!E8</f>
        <v>2999.0627026031202</v>
      </c>
      <c r="G11" s="1013">
        <f>huishoudens!F8</f>
        <v>23936.309828725116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11288.471242254114</v>
      </c>
      <c r="P11" s="1013">
        <f>huishoudens!O8</f>
        <v>212.61333333333334</v>
      </c>
      <c r="Q11" s="1014">
        <f>huishoudens!P8</f>
        <v>629.20000000000005</v>
      </c>
      <c r="R11" s="700">
        <f>SUM(C11:Q11)</f>
        <v>74836.176477385205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12799.304870669057</v>
      </c>
      <c r="D13" s="1013">
        <f>industrie!C18</f>
        <v>0</v>
      </c>
      <c r="E13" s="1013">
        <f>industrie!D18</f>
        <v>1414.5550850172115</v>
      </c>
      <c r="F13" s="1013">
        <f>industrie!E18</f>
        <v>971.33177972912347</v>
      </c>
      <c r="G13" s="1013">
        <f>industrie!F18</f>
        <v>3229.7467874266486</v>
      </c>
      <c r="H13" s="1013">
        <f>industrie!G18</f>
        <v>0</v>
      </c>
      <c r="I13" s="1013">
        <f>industrie!H18</f>
        <v>0</v>
      </c>
      <c r="J13" s="1013">
        <f>industrie!I18</f>
        <v>0</v>
      </c>
      <c r="K13" s="1013">
        <f>industrie!J18</f>
        <v>34.534181931267717</v>
      </c>
      <c r="L13" s="1013">
        <f>industrie!K18</f>
        <v>0</v>
      </c>
      <c r="M13" s="1013">
        <f>industrie!L18</f>
        <v>0</v>
      </c>
      <c r="N13" s="1013">
        <f>industrie!M18</f>
        <v>0</v>
      </c>
      <c r="O13" s="1013">
        <f>industrie!N18</f>
        <v>2806.9027532917366</v>
      </c>
      <c r="P13" s="1013">
        <f>industrie!O18</f>
        <v>0</v>
      </c>
      <c r="Q13" s="1014">
        <f>industrie!P18</f>
        <v>0</v>
      </c>
      <c r="R13" s="700">
        <f>SUM(C13:Q13)</f>
        <v>21256.375458065042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34499.490352724664</v>
      </c>
      <c r="D16" s="732">
        <f t="shared" ref="D16:R16" ca="1" si="0">SUM(D9:D15)</f>
        <v>0</v>
      </c>
      <c r="E16" s="732">
        <f t="shared" ca="1" si="0"/>
        <v>32564.484880264139</v>
      </c>
      <c r="F16" s="732">
        <f t="shared" si="0"/>
        <v>4067.2041375004924</v>
      </c>
      <c r="G16" s="732">
        <f t="shared" ca="1" si="0"/>
        <v>28480.331789954256</v>
      </c>
      <c r="H16" s="732">
        <f t="shared" si="0"/>
        <v>0</v>
      </c>
      <c r="I16" s="732">
        <f t="shared" si="0"/>
        <v>0</v>
      </c>
      <c r="J16" s="732">
        <f t="shared" si="0"/>
        <v>0</v>
      </c>
      <c r="K16" s="732">
        <f t="shared" si="0"/>
        <v>34.56574719441624</v>
      </c>
      <c r="L16" s="732">
        <f t="shared" si="0"/>
        <v>0</v>
      </c>
      <c r="M16" s="732">
        <f t="shared" ca="1" si="0"/>
        <v>0</v>
      </c>
      <c r="N16" s="732">
        <f t="shared" si="0"/>
        <v>0</v>
      </c>
      <c r="O16" s="732">
        <f t="shared" ca="1" si="0"/>
        <v>15353.083150260176</v>
      </c>
      <c r="P16" s="732">
        <f t="shared" si="0"/>
        <v>215.74</v>
      </c>
      <c r="Q16" s="732">
        <f t="shared" si="0"/>
        <v>629.20000000000005</v>
      </c>
      <c r="R16" s="732">
        <f t="shared" ca="1" si="0"/>
        <v>115844.10005789813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142.13910823029971</v>
      </c>
      <c r="I19" s="1013">
        <f>transport!H54</f>
        <v>0</v>
      </c>
      <c r="J19" s="1013">
        <f>transport!I54</f>
        <v>0</v>
      </c>
      <c r="K19" s="1013">
        <f>transport!J54</f>
        <v>0</v>
      </c>
      <c r="L19" s="1013">
        <f>transport!K54</f>
        <v>0</v>
      </c>
      <c r="M19" s="1013">
        <f>transport!L54</f>
        <v>0</v>
      </c>
      <c r="N19" s="1013">
        <f>transport!M54</f>
        <v>8.0728738635305053</v>
      </c>
      <c r="O19" s="1013">
        <f>transport!N54</f>
        <v>0</v>
      </c>
      <c r="P19" s="1013">
        <f>transport!O54</f>
        <v>0</v>
      </c>
      <c r="Q19" s="1014">
        <f>transport!P54</f>
        <v>0</v>
      </c>
      <c r="R19" s="700">
        <f>SUM(C19:Q19)</f>
        <v>150.21198209383022</v>
      </c>
      <c r="S19" s="67"/>
    </row>
    <row r="20" spans="1:19" s="473" customFormat="1">
      <c r="A20" s="809" t="s">
        <v>307</v>
      </c>
      <c r="B20" s="814"/>
      <c r="C20" s="1013">
        <f>transport!B14</f>
        <v>13.171761758411996</v>
      </c>
      <c r="D20" s="1013">
        <f>transport!C14</f>
        <v>0</v>
      </c>
      <c r="E20" s="1013">
        <f>transport!D14</f>
        <v>48.613870225481563</v>
      </c>
      <c r="F20" s="1013">
        <f>transport!E14</f>
        <v>64.312922753707426</v>
      </c>
      <c r="G20" s="1013">
        <f>transport!F14</f>
        <v>0</v>
      </c>
      <c r="H20" s="1013">
        <f>transport!G14</f>
        <v>29099.440707236743</v>
      </c>
      <c r="I20" s="1013">
        <f>transport!H14</f>
        <v>5466.3569782084642</v>
      </c>
      <c r="J20" s="1013">
        <f>transport!I14</f>
        <v>0</v>
      </c>
      <c r="K20" s="1013">
        <f>transport!J14</f>
        <v>0</v>
      </c>
      <c r="L20" s="1013">
        <f>transport!K14</f>
        <v>0</v>
      </c>
      <c r="M20" s="1013">
        <f>transport!L14</f>
        <v>0</v>
      </c>
      <c r="N20" s="1013">
        <f>transport!M14</f>
        <v>1861.4150020328418</v>
      </c>
      <c r="O20" s="1013">
        <f>transport!N14</f>
        <v>0</v>
      </c>
      <c r="P20" s="1013">
        <f>transport!O14</f>
        <v>0</v>
      </c>
      <c r="Q20" s="1014">
        <f>transport!P14</f>
        <v>0</v>
      </c>
      <c r="R20" s="700">
        <f>SUM(C20:Q20)</f>
        <v>36553.311242215656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13.171761758411996</v>
      </c>
      <c r="D22" s="812">
        <f t="shared" ref="D22:R22" si="1">SUM(D18:D21)</f>
        <v>0</v>
      </c>
      <c r="E22" s="812">
        <f t="shared" si="1"/>
        <v>48.613870225481563</v>
      </c>
      <c r="F22" s="812">
        <f t="shared" si="1"/>
        <v>64.312922753707426</v>
      </c>
      <c r="G22" s="812">
        <f t="shared" si="1"/>
        <v>0</v>
      </c>
      <c r="H22" s="812">
        <f t="shared" si="1"/>
        <v>29241.579815467041</v>
      </c>
      <c r="I22" s="812">
        <f t="shared" si="1"/>
        <v>5466.3569782084642</v>
      </c>
      <c r="J22" s="812">
        <f t="shared" si="1"/>
        <v>0</v>
      </c>
      <c r="K22" s="812">
        <f t="shared" si="1"/>
        <v>0</v>
      </c>
      <c r="L22" s="812">
        <f t="shared" si="1"/>
        <v>0</v>
      </c>
      <c r="M22" s="812">
        <f t="shared" si="1"/>
        <v>0</v>
      </c>
      <c r="N22" s="812">
        <f t="shared" si="1"/>
        <v>1869.4878758963723</v>
      </c>
      <c r="O22" s="812">
        <f t="shared" si="1"/>
        <v>0</v>
      </c>
      <c r="P22" s="812">
        <f t="shared" si="1"/>
        <v>0</v>
      </c>
      <c r="Q22" s="812">
        <f t="shared" si="1"/>
        <v>0</v>
      </c>
      <c r="R22" s="812">
        <f t="shared" si="1"/>
        <v>36703.523224309487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2808.9084375785737</v>
      </c>
      <c r="D24" s="1013">
        <f>+landbouw!C8</f>
        <v>6467.1428571428569</v>
      </c>
      <c r="E24" s="1013">
        <f>+landbouw!D8</f>
        <v>0</v>
      </c>
      <c r="F24" s="1013">
        <f>+landbouw!E8</f>
        <v>82.562398377049462</v>
      </c>
      <c r="G24" s="1013">
        <f>+landbouw!F8</f>
        <v>11701.760765507237</v>
      </c>
      <c r="H24" s="1013">
        <f>+landbouw!G8</f>
        <v>0</v>
      </c>
      <c r="I24" s="1013">
        <f>+landbouw!H8</f>
        <v>0</v>
      </c>
      <c r="J24" s="1013">
        <f>+landbouw!I8</f>
        <v>0</v>
      </c>
      <c r="K24" s="1013">
        <f>+landbouw!J8</f>
        <v>406.95051060593926</v>
      </c>
      <c r="L24" s="1013">
        <f>+landbouw!K8</f>
        <v>0</v>
      </c>
      <c r="M24" s="1013">
        <f>+landbouw!L8</f>
        <v>0</v>
      </c>
      <c r="N24" s="1013">
        <f>+landbouw!M8</f>
        <v>0</v>
      </c>
      <c r="O24" s="1013">
        <f>+landbouw!N8</f>
        <v>0</v>
      </c>
      <c r="P24" s="1013">
        <f>+landbouw!O8</f>
        <v>0</v>
      </c>
      <c r="Q24" s="1014">
        <f>+landbouw!P8</f>
        <v>0</v>
      </c>
      <c r="R24" s="700">
        <f>SUM(C24:Q24)</f>
        <v>21467.324969211655</v>
      </c>
      <c r="S24" s="67"/>
    </row>
    <row r="25" spans="1:19" s="473" customFormat="1" ht="15" thickBot="1">
      <c r="A25" s="831" t="s">
        <v>836</v>
      </c>
      <c r="B25" s="1016"/>
      <c r="C25" s="1017">
        <f>IF(Onbekend_ele_kWh="---",0,Onbekend_ele_kWh)/1000+IF(REST_rest_ele_kWh="---",0,REST_rest_ele_kWh)/1000</f>
        <v>355.35310413749801</v>
      </c>
      <c r="D25" s="1017"/>
      <c r="E25" s="1017">
        <f>IF(onbekend_gas_kWh="---",0,onbekend_gas_kWh)/1000+IF(REST_rest_gas_kWh="---",0,REST_rest_gas_kWh)/1000</f>
        <v>698.80671178262003</v>
      </c>
      <c r="F25" s="1017"/>
      <c r="G25" s="1017"/>
      <c r="H25" s="1017"/>
      <c r="I25" s="1017"/>
      <c r="J25" s="1017"/>
      <c r="K25" s="1017"/>
      <c r="L25" s="1017"/>
      <c r="M25" s="1017"/>
      <c r="N25" s="1017"/>
      <c r="O25" s="1017"/>
      <c r="P25" s="1017"/>
      <c r="Q25" s="1018"/>
      <c r="R25" s="700">
        <f>SUM(C25:Q25)</f>
        <v>1054.159815920118</v>
      </c>
      <c r="S25" s="67"/>
    </row>
    <row r="26" spans="1:19" s="473" customFormat="1" ht="15.75" thickBot="1">
      <c r="A26" s="705" t="s">
        <v>837</v>
      </c>
      <c r="B26" s="817"/>
      <c r="C26" s="812">
        <f>SUM(C24:C25)</f>
        <v>3164.2615417160719</v>
      </c>
      <c r="D26" s="812">
        <f t="shared" ref="D26:R26" si="2">SUM(D24:D25)</f>
        <v>6467.1428571428569</v>
      </c>
      <c r="E26" s="812">
        <f t="shared" si="2"/>
        <v>698.80671178262003</v>
      </c>
      <c r="F26" s="812">
        <f t="shared" si="2"/>
        <v>82.562398377049462</v>
      </c>
      <c r="G26" s="812">
        <f t="shared" si="2"/>
        <v>11701.760765507237</v>
      </c>
      <c r="H26" s="812">
        <f t="shared" si="2"/>
        <v>0</v>
      </c>
      <c r="I26" s="812">
        <f t="shared" si="2"/>
        <v>0</v>
      </c>
      <c r="J26" s="812">
        <f t="shared" si="2"/>
        <v>0</v>
      </c>
      <c r="K26" s="812">
        <f t="shared" si="2"/>
        <v>406.95051060593926</v>
      </c>
      <c r="L26" s="812">
        <f t="shared" si="2"/>
        <v>0</v>
      </c>
      <c r="M26" s="812">
        <f t="shared" si="2"/>
        <v>0</v>
      </c>
      <c r="N26" s="812">
        <f t="shared" si="2"/>
        <v>0</v>
      </c>
      <c r="O26" s="812">
        <f t="shared" si="2"/>
        <v>0</v>
      </c>
      <c r="P26" s="812">
        <f t="shared" si="2"/>
        <v>0</v>
      </c>
      <c r="Q26" s="812">
        <f t="shared" si="2"/>
        <v>0</v>
      </c>
      <c r="R26" s="812">
        <f t="shared" si="2"/>
        <v>22521.484785131772</v>
      </c>
      <c r="S26" s="67"/>
    </row>
    <row r="27" spans="1:19" s="473" customFormat="1" ht="17.25" thickTop="1" thickBot="1">
      <c r="A27" s="706" t="s">
        <v>116</v>
      </c>
      <c r="B27" s="805"/>
      <c r="C27" s="707">
        <f ca="1">C22+C16+C26</f>
        <v>37676.923656199149</v>
      </c>
      <c r="D27" s="707">
        <f t="shared" ref="D27:R27" ca="1" si="3">D22+D16+D26</f>
        <v>6467.1428571428569</v>
      </c>
      <c r="E27" s="707">
        <f t="shared" ca="1" si="3"/>
        <v>33311.90546227224</v>
      </c>
      <c r="F27" s="707">
        <f t="shared" si="3"/>
        <v>4214.0794586312495</v>
      </c>
      <c r="G27" s="707">
        <f t="shared" ca="1" si="3"/>
        <v>40182.092555461495</v>
      </c>
      <c r="H27" s="707">
        <f t="shared" si="3"/>
        <v>29241.579815467041</v>
      </c>
      <c r="I27" s="707">
        <f t="shared" si="3"/>
        <v>5466.3569782084642</v>
      </c>
      <c r="J27" s="707">
        <f t="shared" si="3"/>
        <v>0</v>
      </c>
      <c r="K27" s="707">
        <f t="shared" si="3"/>
        <v>441.5162578003555</v>
      </c>
      <c r="L27" s="707">
        <f t="shared" si="3"/>
        <v>0</v>
      </c>
      <c r="M27" s="707">
        <f t="shared" ca="1" si="3"/>
        <v>0</v>
      </c>
      <c r="N27" s="707">
        <f t="shared" si="3"/>
        <v>1869.4878758963723</v>
      </c>
      <c r="O27" s="707">
        <f t="shared" ca="1" si="3"/>
        <v>15353.083150260176</v>
      </c>
      <c r="P27" s="707">
        <f t="shared" si="3"/>
        <v>215.74</v>
      </c>
      <c r="Q27" s="707">
        <f t="shared" si="3"/>
        <v>629.20000000000005</v>
      </c>
      <c r="R27" s="707">
        <f t="shared" ca="1" si="3"/>
        <v>175069.10806733937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1586.928874768827</v>
      </c>
      <c r="D40" s="1013">
        <f ca="1">tertiair!C20</f>
        <v>0</v>
      </c>
      <c r="E40" s="1013">
        <f ca="1">tertiair!D20</f>
        <v>1888.8464782828607</v>
      </c>
      <c r="F40" s="1013">
        <f>tertiair!E20</f>
        <v>21.975791723192533</v>
      </c>
      <c r="G40" s="1013">
        <f ca="1">tertiair!F20</f>
        <v>350.91147140526579</v>
      </c>
      <c r="H40" s="1013">
        <f>tertiair!G20</f>
        <v>0</v>
      </c>
      <c r="I40" s="1013">
        <f>tertiair!H20</f>
        <v>0</v>
      </c>
      <c r="J40" s="1013">
        <f>tertiair!I20</f>
        <v>0</v>
      </c>
      <c r="K40" s="1013">
        <f>tertiair!J20</f>
        <v>1.1174103154575806E-2</v>
      </c>
      <c r="L40" s="1013">
        <f>tertiair!K20</f>
        <v>0</v>
      </c>
      <c r="M40" s="1013">
        <f ca="1">tertiair!L20</f>
        <v>0</v>
      </c>
      <c r="N40" s="1013">
        <f>tertiair!M20</f>
        <v>0</v>
      </c>
      <c r="O40" s="1013">
        <f ca="1">tertiair!N20</f>
        <v>0</v>
      </c>
      <c r="P40" s="1013">
        <f>tertiair!O20</f>
        <v>0</v>
      </c>
      <c r="Q40" s="774">
        <f>tertiair!P20</f>
        <v>0</v>
      </c>
      <c r="R40" s="850">
        <f t="shared" ca="1" si="4"/>
        <v>3848.6737902833006</v>
      </c>
    </row>
    <row r="41" spans="1:18">
      <c r="A41" s="822" t="s">
        <v>225</v>
      </c>
      <c r="B41" s="829"/>
      <c r="C41" s="1013">
        <f ca="1">huishoudens!B12</f>
        <v>2868.6574544986811</v>
      </c>
      <c r="D41" s="1013">
        <f ca="1">huishoudens!C12</f>
        <v>0</v>
      </c>
      <c r="E41" s="1013">
        <f>huishoudens!D12</f>
        <v>4403.4393403570193</v>
      </c>
      <c r="F41" s="1013">
        <f>huishoudens!E12</f>
        <v>680.78723349090831</v>
      </c>
      <c r="G41" s="1013">
        <f>huishoudens!F12</f>
        <v>6390.9947242696062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14343.878752616216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2628.0147629631192</v>
      </c>
      <c r="D43" s="1013">
        <f ca="1">industrie!C22</f>
        <v>0</v>
      </c>
      <c r="E43" s="1013">
        <f>industrie!D22</f>
        <v>285.74012717347671</v>
      </c>
      <c r="F43" s="1013">
        <f>industrie!E22</f>
        <v>220.49231399851104</v>
      </c>
      <c r="G43" s="1013">
        <f>industrie!F22</f>
        <v>862.34239224291525</v>
      </c>
      <c r="H43" s="1013">
        <f>industrie!G22</f>
        <v>0</v>
      </c>
      <c r="I43" s="1013">
        <f>industrie!H22</f>
        <v>0</v>
      </c>
      <c r="J43" s="1013">
        <f>industrie!I22</f>
        <v>0</v>
      </c>
      <c r="K43" s="1013">
        <f>industrie!J22</f>
        <v>12.225100403668771</v>
      </c>
      <c r="L43" s="1013">
        <f>industrie!K22</f>
        <v>0</v>
      </c>
      <c r="M43" s="1013">
        <f>industrie!L22</f>
        <v>0</v>
      </c>
      <c r="N43" s="1013">
        <f>industrie!M22</f>
        <v>0</v>
      </c>
      <c r="O43" s="1013">
        <f>industrie!N22</f>
        <v>0</v>
      </c>
      <c r="P43" s="1013">
        <f>industrie!O22</f>
        <v>0</v>
      </c>
      <c r="Q43" s="774">
        <f>industrie!P22</f>
        <v>0</v>
      </c>
      <c r="R43" s="849">
        <f t="shared" ca="1" si="4"/>
        <v>4008.8146967816911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7083.6010922306268</v>
      </c>
      <c r="D46" s="732">
        <f t="shared" ref="D46:Q46" ca="1" si="5">SUM(D39:D45)</f>
        <v>0</v>
      </c>
      <c r="E46" s="732">
        <f t="shared" ca="1" si="5"/>
        <v>6578.0259458133569</v>
      </c>
      <c r="F46" s="732">
        <f t="shared" si="5"/>
        <v>923.25533921261183</v>
      </c>
      <c r="G46" s="732">
        <f t="shared" ca="1" si="5"/>
        <v>7604.2485879177875</v>
      </c>
      <c r="H46" s="732">
        <f t="shared" si="5"/>
        <v>0</v>
      </c>
      <c r="I46" s="732">
        <f t="shared" si="5"/>
        <v>0</v>
      </c>
      <c r="J46" s="732">
        <f t="shared" si="5"/>
        <v>0</v>
      </c>
      <c r="K46" s="732">
        <f t="shared" si="5"/>
        <v>12.236274506823346</v>
      </c>
      <c r="L46" s="732">
        <f t="shared" si="5"/>
        <v>0</v>
      </c>
      <c r="M46" s="732">
        <f t="shared" ca="1" si="5"/>
        <v>0</v>
      </c>
      <c r="N46" s="732">
        <f t="shared" si="5"/>
        <v>0</v>
      </c>
      <c r="O46" s="732">
        <f t="shared" ca="1" si="5"/>
        <v>0</v>
      </c>
      <c r="P46" s="732">
        <f t="shared" si="5"/>
        <v>0</v>
      </c>
      <c r="Q46" s="732">
        <f t="shared" si="5"/>
        <v>0</v>
      </c>
      <c r="R46" s="732">
        <f ca="1">SUM(R39:R45)</f>
        <v>22201.367239681207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37.951141897490025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37.951141897490025</v>
      </c>
    </row>
    <row r="50" spans="1:18">
      <c r="A50" s="825" t="s">
        <v>307</v>
      </c>
      <c r="B50" s="835"/>
      <c r="C50" s="703">
        <f ca="1">transport!B18</f>
        <v>2.7044894004099396</v>
      </c>
      <c r="D50" s="703">
        <f>transport!C18</f>
        <v>0</v>
      </c>
      <c r="E50" s="703">
        <f>transport!D18</f>
        <v>9.8200017855472765</v>
      </c>
      <c r="F50" s="703">
        <f>transport!E18</f>
        <v>14.599033465091587</v>
      </c>
      <c r="G50" s="703">
        <f>transport!F18</f>
        <v>0</v>
      </c>
      <c r="H50" s="703">
        <f>transport!G18</f>
        <v>7769.5506688322112</v>
      </c>
      <c r="I50" s="703">
        <f>transport!H18</f>
        <v>1361.1228875739075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9157.7970810571678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2.7044894004099396</v>
      </c>
      <c r="D52" s="732">
        <f t="shared" ref="D52:Q52" ca="1" si="6">SUM(D48:D51)</f>
        <v>0</v>
      </c>
      <c r="E52" s="732">
        <f t="shared" si="6"/>
        <v>9.8200017855472765</v>
      </c>
      <c r="F52" s="732">
        <f t="shared" si="6"/>
        <v>14.599033465091587</v>
      </c>
      <c r="G52" s="732">
        <f t="shared" si="6"/>
        <v>0</v>
      </c>
      <c r="H52" s="732">
        <f t="shared" si="6"/>
        <v>7807.501810729701</v>
      </c>
      <c r="I52" s="732">
        <f t="shared" si="6"/>
        <v>1361.1228875739075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9195.7482229546586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576.73857419276317</v>
      </c>
      <c r="D54" s="703">
        <f ca="1">+landbouw!C12</f>
        <v>1536.8974789915969</v>
      </c>
      <c r="E54" s="703">
        <f>+landbouw!D12</f>
        <v>0</v>
      </c>
      <c r="F54" s="703">
        <f>+landbouw!E12</f>
        <v>18.741664431590227</v>
      </c>
      <c r="G54" s="703">
        <f>+landbouw!F12</f>
        <v>3124.3701243904325</v>
      </c>
      <c r="H54" s="703">
        <f>+landbouw!G12</f>
        <v>0</v>
      </c>
      <c r="I54" s="703">
        <f>+landbouw!H12</f>
        <v>0</v>
      </c>
      <c r="J54" s="703">
        <f>+landbouw!I12</f>
        <v>0</v>
      </c>
      <c r="K54" s="703">
        <f>+landbouw!J12</f>
        <v>144.06048075450249</v>
      </c>
      <c r="L54" s="703">
        <f>+landbouw!K12</f>
        <v>0</v>
      </c>
      <c r="M54" s="703">
        <f>+landbouw!L12</f>
        <v>0</v>
      </c>
      <c r="N54" s="703">
        <f>+landbouw!M12</f>
        <v>0</v>
      </c>
      <c r="O54" s="703">
        <f>+landbouw!N12</f>
        <v>0</v>
      </c>
      <c r="P54" s="703">
        <f>+landbouw!O12</f>
        <v>0</v>
      </c>
      <c r="Q54" s="704">
        <f>+landbouw!P12</f>
        <v>0</v>
      </c>
      <c r="R54" s="731">
        <f ca="1">SUM(C54:Q54)</f>
        <v>5400.8083227608859</v>
      </c>
    </row>
    <row r="55" spans="1:18" ht="15" thickBot="1">
      <c r="A55" s="825" t="s">
        <v>836</v>
      </c>
      <c r="B55" s="835"/>
      <c r="C55" s="703">
        <f ca="1">C25*'EF ele_warmte'!B12</f>
        <v>72.962806431635471</v>
      </c>
      <c r="D55" s="703"/>
      <c r="E55" s="703">
        <f>E25*EF_CO2_aardgas</f>
        <v>141.15895578008926</v>
      </c>
      <c r="F55" s="703"/>
      <c r="G55" s="703"/>
      <c r="H55" s="703"/>
      <c r="I55" s="703"/>
      <c r="J55" s="703"/>
      <c r="K55" s="703"/>
      <c r="L55" s="703"/>
      <c r="M55" s="703"/>
      <c r="N55" s="703"/>
      <c r="O55" s="703"/>
      <c r="P55" s="703"/>
      <c r="Q55" s="704"/>
      <c r="R55" s="731">
        <f ca="1">SUM(C55:Q55)</f>
        <v>214.12176221172473</v>
      </c>
    </row>
    <row r="56" spans="1:18" ht="15.75" thickBot="1">
      <c r="A56" s="823" t="s">
        <v>837</v>
      </c>
      <c r="B56" s="836"/>
      <c r="C56" s="732">
        <f ca="1">SUM(C54:C55)</f>
        <v>649.70138062439867</v>
      </c>
      <c r="D56" s="732">
        <f t="shared" ref="D56:Q56" ca="1" si="7">SUM(D54:D55)</f>
        <v>1536.8974789915969</v>
      </c>
      <c r="E56" s="732">
        <f t="shared" si="7"/>
        <v>141.15895578008926</v>
      </c>
      <c r="F56" s="732">
        <f t="shared" si="7"/>
        <v>18.741664431590227</v>
      </c>
      <c r="G56" s="732">
        <f t="shared" si="7"/>
        <v>3124.3701243904325</v>
      </c>
      <c r="H56" s="732">
        <f t="shared" si="7"/>
        <v>0</v>
      </c>
      <c r="I56" s="732">
        <f t="shared" si="7"/>
        <v>0</v>
      </c>
      <c r="J56" s="732">
        <f t="shared" si="7"/>
        <v>0</v>
      </c>
      <c r="K56" s="732">
        <f t="shared" si="7"/>
        <v>144.06048075450249</v>
      </c>
      <c r="L56" s="732">
        <f t="shared" si="7"/>
        <v>0</v>
      </c>
      <c r="M56" s="732">
        <f t="shared" si="7"/>
        <v>0</v>
      </c>
      <c r="N56" s="732">
        <f t="shared" si="7"/>
        <v>0</v>
      </c>
      <c r="O56" s="732">
        <f t="shared" si="7"/>
        <v>0</v>
      </c>
      <c r="P56" s="732">
        <f t="shared" si="7"/>
        <v>0</v>
      </c>
      <c r="Q56" s="733">
        <f t="shared" si="7"/>
        <v>0</v>
      </c>
      <c r="R56" s="734">
        <f ca="1">SUM(R54:R55)</f>
        <v>5614.9300849726105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7736.0069622554356</v>
      </c>
      <c r="D61" s="740">
        <f t="shared" ref="D61:Q61" ca="1" si="8">D46+D52+D56</f>
        <v>1536.8974789915969</v>
      </c>
      <c r="E61" s="740">
        <f t="shared" ca="1" si="8"/>
        <v>6729.0049033789928</v>
      </c>
      <c r="F61" s="740">
        <f t="shared" si="8"/>
        <v>956.59603710929366</v>
      </c>
      <c r="G61" s="740">
        <f t="shared" ca="1" si="8"/>
        <v>10728.61871230822</v>
      </c>
      <c r="H61" s="740">
        <f t="shared" si="8"/>
        <v>7807.501810729701</v>
      </c>
      <c r="I61" s="740">
        <f t="shared" si="8"/>
        <v>1361.1228875739075</v>
      </c>
      <c r="J61" s="740">
        <f t="shared" si="8"/>
        <v>0</v>
      </c>
      <c r="K61" s="740">
        <f t="shared" si="8"/>
        <v>156.29675526132584</v>
      </c>
      <c r="L61" s="740">
        <f t="shared" si="8"/>
        <v>0</v>
      </c>
      <c r="M61" s="740">
        <f t="shared" ca="1" si="8"/>
        <v>0</v>
      </c>
      <c r="N61" s="740">
        <f t="shared" si="8"/>
        <v>0</v>
      </c>
      <c r="O61" s="740">
        <f t="shared" ca="1" si="8"/>
        <v>0</v>
      </c>
      <c r="P61" s="740">
        <f t="shared" si="8"/>
        <v>0</v>
      </c>
      <c r="Q61" s="740">
        <f t="shared" si="8"/>
        <v>0</v>
      </c>
      <c r="R61" s="740">
        <f ca="1">R46+R52+R56</f>
        <v>37012.045547608475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0.20532480392630453</v>
      </c>
      <c r="D63" s="781">
        <f t="shared" ca="1" si="9"/>
        <v>0.23764705882352946</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3013.3683305823197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4527</v>
      </c>
      <c r="D76" s="1034">
        <f>'lokale energieproductie'!C8</f>
        <v>5325.8823529411775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1075.828235294118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3013.3683305823197</v>
      </c>
      <c r="C78" s="755">
        <f>SUM(C72:C77)</f>
        <v>4527</v>
      </c>
      <c r="D78" s="756">
        <f t="shared" ref="D78:H78" si="10">SUM(D76:D77)</f>
        <v>5325.8823529411775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1075.828235294118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6467.1428571428569</v>
      </c>
      <c r="D87" s="777">
        <f>'lokale energieproductie'!C17</f>
        <v>7608.403361344539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1536.8974789915969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6467.1428571428569</v>
      </c>
      <c r="D90" s="755">
        <f t="shared" ref="D90:H90" si="12">SUM(D87:D89)</f>
        <v>7608.403361344539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1536.8974789915969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3013.3683305823197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4527</v>
      </c>
      <c r="C8" s="570">
        <f>B101</f>
        <v>5325.8823529411775</v>
      </c>
      <c r="D8" s="1044"/>
      <c r="E8" s="1044">
        <f>E101</f>
        <v>0</v>
      </c>
      <c r="F8" s="1045"/>
      <c r="G8" s="571"/>
      <c r="H8" s="1044">
        <f>I101</f>
        <v>0</v>
      </c>
      <c r="I8" s="1044">
        <f>G101+F101</f>
        <v>0</v>
      </c>
      <c r="J8" s="1044">
        <f>H101+D101+C101</f>
        <v>0</v>
      </c>
      <c r="K8" s="1044"/>
      <c r="L8" s="1044"/>
      <c r="M8" s="1044"/>
      <c r="N8" s="572"/>
      <c r="O8" s="573">
        <f>C8*$C$12+D8*$D$12+E8*$E$12+F8*$F$12+G8*$G$12+H8*$H$12+I8*$I$12+J8*$J$12</f>
        <v>1075.828235294118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7540.3683305823197</v>
      </c>
      <c r="C10" s="583">
        <f t="shared" ref="C10:L10" si="0">SUM(C8:C9)</f>
        <v>5325.8823529411775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1075.828235294118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6467.1428571428569</v>
      </c>
      <c r="C17" s="595">
        <f>B102</f>
        <v>7608.403361344539</v>
      </c>
      <c r="D17" s="596"/>
      <c r="E17" s="596">
        <f>E102</f>
        <v>0</v>
      </c>
      <c r="F17" s="1050"/>
      <c r="G17" s="597"/>
      <c r="H17" s="595">
        <f>I102</f>
        <v>0</v>
      </c>
      <c r="I17" s="596">
        <f>G102+F102</f>
        <v>0</v>
      </c>
      <c r="J17" s="596">
        <f>H102+D102+C102</f>
        <v>0</v>
      </c>
      <c r="K17" s="596"/>
      <c r="L17" s="596"/>
      <c r="M17" s="596"/>
      <c r="N17" s="1051"/>
      <c r="O17" s="598">
        <f>C17*$C$22+E17*$E$22+H17*$H$22+I17*$I$22+J17*$J$22+D17*$D$22+F17*$F$22+G17*$G$22+K17*$K$22+L17*$L$22</f>
        <v>1536.8974789915969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6467.1428571428569</v>
      </c>
      <c r="C20" s="582">
        <f>SUM(C17:C19)</f>
        <v>7608.403361344539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1536.8974789915969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37002</v>
      </c>
      <c r="C28" s="796">
        <v>8720</v>
      </c>
      <c r="D28" s="653" t="s">
        <v>881</v>
      </c>
      <c r="E28" s="652" t="s">
        <v>882</v>
      </c>
      <c r="F28" s="652" t="s">
        <v>883</v>
      </c>
      <c r="G28" s="652" t="s">
        <v>884</v>
      </c>
      <c r="H28" s="652" t="s">
        <v>885</v>
      </c>
      <c r="I28" s="652" t="s">
        <v>886</v>
      </c>
      <c r="J28" s="795">
        <v>39827</v>
      </c>
      <c r="K28" s="795">
        <v>39827</v>
      </c>
      <c r="L28" s="652" t="s">
        <v>887</v>
      </c>
      <c r="M28" s="652">
        <v>1006</v>
      </c>
      <c r="N28" s="652">
        <v>4527</v>
      </c>
      <c r="O28" s="652">
        <v>6467.1428571428569</v>
      </c>
      <c r="P28" s="652">
        <v>12934.285714285716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1006</v>
      </c>
      <c r="N58" s="610">
        <f>SUM(N28:N57)</f>
        <v>4527</v>
      </c>
      <c r="O58" s="610">
        <f t="shared" ref="O58:W58" si="2">SUM(O28:O57)</f>
        <v>6467.1428571428569</v>
      </c>
      <c r="P58" s="610">
        <f t="shared" si="2"/>
        <v>12934.285714285716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1006</v>
      </c>
      <c r="N61" s="615">
        <f t="shared" si="4"/>
        <v>4527</v>
      </c>
      <c r="O61" s="615">
        <f t="shared" si="4"/>
        <v>6467.1428571428569</v>
      </c>
      <c r="P61" s="615">
        <f t="shared" si="4"/>
        <v>12934.285714285716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5325.8823529411775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7608.403361344539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13971.314715236758</v>
      </c>
      <c r="C4" s="477">
        <f>huishoudens!C8</f>
        <v>0</v>
      </c>
      <c r="D4" s="477">
        <f>huishoudens!D8</f>
        <v>21799.204655232767</v>
      </c>
      <c r="E4" s="477">
        <f>huishoudens!E8</f>
        <v>2999.0627026031202</v>
      </c>
      <c r="F4" s="477">
        <f>huishoudens!F8</f>
        <v>23936.309828725116</v>
      </c>
      <c r="G4" s="477">
        <f>huishoudens!G8</f>
        <v>0</v>
      </c>
      <c r="H4" s="477">
        <f>huishoudens!H8</f>
        <v>0</v>
      </c>
      <c r="I4" s="477">
        <f>huishoudens!I8</f>
        <v>0</v>
      </c>
      <c r="J4" s="477">
        <f>huishoudens!J8</f>
        <v>0</v>
      </c>
      <c r="K4" s="477">
        <f>huishoudens!K8</f>
        <v>0</v>
      </c>
      <c r="L4" s="477">
        <f>huishoudens!L8</f>
        <v>0</v>
      </c>
      <c r="M4" s="477">
        <f>huishoudens!M8</f>
        <v>0</v>
      </c>
      <c r="N4" s="477">
        <f>huishoudens!N8</f>
        <v>11288.471242254114</v>
      </c>
      <c r="O4" s="477">
        <f>huishoudens!O8</f>
        <v>212.61333333333334</v>
      </c>
      <c r="P4" s="478">
        <f>huishoudens!P8</f>
        <v>629.20000000000005</v>
      </c>
      <c r="Q4" s="479">
        <f>SUM(B4:P4)</f>
        <v>74836.176477385205</v>
      </c>
    </row>
    <row r="5" spans="1:17">
      <c r="A5" s="476" t="s">
        <v>156</v>
      </c>
      <c r="B5" s="477">
        <f ca="1">tertiair!B16</f>
        <v>7100.887766818847</v>
      </c>
      <c r="C5" s="477">
        <f ca="1">tertiair!C16</f>
        <v>0</v>
      </c>
      <c r="D5" s="477">
        <f ca="1">tertiair!D16</f>
        <v>9350.7251400141613</v>
      </c>
      <c r="E5" s="477">
        <f>tertiair!E16</f>
        <v>96.809655168249037</v>
      </c>
      <c r="F5" s="477">
        <f ca="1">tertiair!F16</f>
        <v>1314.2751738024936</v>
      </c>
      <c r="G5" s="477">
        <f>tertiair!G16</f>
        <v>0</v>
      </c>
      <c r="H5" s="477">
        <f>tertiair!H16</f>
        <v>0</v>
      </c>
      <c r="I5" s="477">
        <f>tertiair!I16</f>
        <v>0</v>
      </c>
      <c r="J5" s="477">
        <f>tertiair!J16</f>
        <v>3.1565263148519228E-2</v>
      </c>
      <c r="K5" s="477">
        <f>tertiair!K16</f>
        <v>0</v>
      </c>
      <c r="L5" s="477">
        <f ca="1">tertiair!L16</f>
        <v>0</v>
      </c>
      <c r="M5" s="477">
        <f>tertiair!M16</f>
        <v>0</v>
      </c>
      <c r="N5" s="477">
        <f ca="1">tertiair!N16</f>
        <v>1257.7091547143248</v>
      </c>
      <c r="O5" s="477">
        <f>tertiair!O16</f>
        <v>3.1266666666666669</v>
      </c>
      <c r="P5" s="478">
        <f>tertiair!P16</f>
        <v>0</v>
      </c>
      <c r="Q5" s="476">
        <f t="shared" ref="Q5:Q14" ca="1" si="0">SUM(B5:P5)</f>
        <v>19123.56512244789</v>
      </c>
    </row>
    <row r="6" spans="1:17">
      <c r="A6" s="476" t="s">
        <v>194</v>
      </c>
      <c r="B6" s="477">
        <f>'openbare verlichting'!B8</f>
        <v>627.98299999999995</v>
      </c>
      <c r="C6" s="477"/>
      <c r="D6" s="477"/>
      <c r="E6" s="477"/>
      <c r="F6" s="477"/>
      <c r="G6" s="477"/>
      <c r="H6" s="477"/>
      <c r="I6" s="477"/>
      <c r="J6" s="477"/>
      <c r="K6" s="477"/>
      <c r="L6" s="477"/>
      <c r="M6" s="477"/>
      <c r="N6" s="477"/>
      <c r="O6" s="477"/>
      <c r="P6" s="478"/>
      <c r="Q6" s="476">
        <f t="shared" si="0"/>
        <v>627.98299999999995</v>
      </c>
    </row>
    <row r="7" spans="1:17">
      <c r="A7" s="476" t="s">
        <v>112</v>
      </c>
      <c r="B7" s="477">
        <f>landbouw!B8</f>
        <v>2808.9084375785737</v>
      </c>
      <c r="C7" s="477">
        <f>landbouw!C8</f>
        <v>6467.1428571428569</v>
      </c>
      <c r="D7" s="477">
        <f>landbouw!D8</f>
        <v>0</v>
      </c>
      <c r="E7" s="477">
        <f>landbouw!E8</f>
        <v>82.562398377049462</v>
      </c>
      <c r="F7" s="477">
        <f>landbouw!F8</f>
        <v>11701.760765507237</v>
      </c>
      <c r="G7" s="477">
        <f>landbouw!G8</f>
        <v>0</v>
      </c>
      <c r="H7" s="477">
        <f>landbouw!H8</f>
        <v>0</v>
      </c>
      <c r="I7" s="477">
        <f>landbouw!I8</f>
        <v>0</v>
      </c>
      <c r="J7" s="477">
        <f>landbouw!J8</f>
        <v>406.95051060593926</v>
      </c>
      <c r="K7" s="477">
        <f>landbouw!K8</f>
        <v>0</v>
      </c>
      <c r="L7" s="477">
        <f>landbouw!L8</f>
        <v>0</v>
      </c>
      <c r="M7" s="477">
        <f>landbouw!M8</f>
        <v>0</v>
      </c>
      <c r="N7" s="477">
        <f>landbouw!N8</f>
        <v>0</v>
      </c>
      <c r="O7" s="477">
        <f>landbouw!O8</f>
        <v>0</v>
      </c>
      <c r="P7" s="478">
        <f>landbouw!P8</f>
        <v>0</v>
      </c>
      <c r="Q7" s="476">
        <f t="shared" si="0"/>
        <v>21467.324969211655</v>
      </c>
    </row>
    <row r="8" spans="1:17">
      <c r="A8" s="476" t="s">
        <v>635</v>
      </c>
      <c r="B8" s="477">
        <f>industrie!B18</f>
        <v>12799.304870669057</v>
      </c>
      <c r="C8" s="477">
        <f>industrie!C18</f>
        <v>0</v>
      </c>
      <c r="D8" s="477">
        <f>industrie!D18</f>
        <v>1414.5550850172115</v>
      </c>
      <c r="E8" s="477">
        <f>industrie!E18</f>
        <v>971.33177972912347</v>
      </c>
      <c r="F8" s="477">
        <f>industrie!F18</f>
        <v>3229.7467874266486</v>
      </c>
      <c r="G8" s="477">
        <f>industrie!G18</f>
        <v>0</v>
      </c>
      <c r="H8" s="477">
        <f>industrie!H18</f>
        <v>0</v>
      </c>
      <c r="I8" s="477">
        <f>industrie!I18</f>
        <v>0</v>
      </c>
      <c r="J8" s="477">
        <f>industrie!J18</f>
        <v>34.534181931267717</v>
      </c>
      <c r="K8" s="477">
        <f>industrie!K18</f>
        <v>0</v>
      </c>
      <c r="L8" s="477">
        <f>industrie!L18</f>
        <v>0</v>
      </c>
      <c r="M8" s="477">
        <f>industrie!M18</f>
        <v>0</v>
      </c>
      <c r="N8" s="477">
        <f>industrie!N18</f>
        <v>2806.9027532917366</v>
      </c>
      <c r="O8" s="477">
        <f>industrie!O18</f>
        <v>0</v>
      </c>
      <c r="P8" s="478">
        <f>industrie!P18</f>
        <v>0</v>
      </c>
      <c r="Q8" s="476">
        <f t="shared" si="0"/>
        <v>21256.375458065042</v>
      </c>
    </row>
    <row r="9" spans="1:17" s="482" customFormat="1">
      <c r="A9" s="480" t="s">
        <v>561</v>
      </c>
      <c r="B9" s="481">
        <f>transport!B14</f>
        <v>13.171761758411996</v>
      </c>
      <c r="C9" s="481">
        <f>transport!C14</f>
        <v>0</v>
      </c>
      <c r="D9" s="481">
        <f>transport!D14</f>
        <v>48.613870225481563</v>
      </c>
      <c r="E9" s="481">
        <f>transport!E14</f>
        <v>64.312922753707426</v>
      </c>
      <c r="F9" s="481">
        <f>transport!F14</f>
        <v>0</v>
      </c>
      <c r="G9" s="481">
        <f>transport!G14</f>
        <v>29099.440707236743</v>
      </c>
      <c r="H9" s="481">
        <f>transport!H14</f>
        <v>5466.3569782084642</v>
      </c>
      <c r="I9" s="481">
        <f>transport!I14</f>
        <v>0</v>
      </c>
      <c r="J9" s="481">
        <f>transport!J14</f>
        <v>0</v>
      </c>
      <c r="K9" s="481">
        <f>transport!K14</f>
        <v>0</v>
      </c>
      <c r="L9" s="481">
        <f>transport!L14</f>
        <v>0</v>
      </c>
      <c r="M9" s="481">
        <f>transport!M14</f>
        <v>1861.4150020328418</v>
      </c>
      <c r="N9" s="481">
        <f>transport!N14</f>
        <v>0</v>
      </c>
      <c r="O9" s="481">
        <f>transport!O14</f>
        <v>0</v>
      </c>
      <c r="P9" s="481">
        <f>transport!P14</f>
        <v>0</v>
      </c>
      <c r="Q9" s="480">
        <f>SUM(B9:P9)</f>
        <v>36553.311242215656</v>
      </c>
    </row>
    <row r="10" spans="1:17">
      <c r="A10" s="476" t="s">
        <v>551</v>
      </c>
      <c r="B10" s="477">
        <f>transport!B54</f>
        <v>0</v>
      </c>
      <c r="C10" s="477">
        <f>transport!C54</f>
        <v>0</v>
      </c>
      <c r="D10" s="477">
        <f>transport!D54</f>
        <v>0</v>
      </c>
      <c r="E10" s="477">
        <f>transport!E54</f>
        <v>0</v>
      </c>
      <c r="F10" s="477">
        <f>transport!F54</f>
        <v>0</v>
      </c>
      <c r="G10" s="477">
        <f>transport!G54</f>
        <v>142.13910823029971</v>
      </c>
      <c r="H10" s="477">
        <f>transport!H54</f>
        <v>0</v>
      </c>
      <c r="I10" s="477">
        <f>transport!I54</f>
        <v>0</v>
      </c>
      <c r="J10" s="477">
        <f>transport!J54</f>
        <v>0</v>
      </c>
      <c r="K10" s="477">
        <f>transport!K54</f>
        <v>0</v>
      </c>
      <c r="L10" s="477">
        <f>transport!L54</f>
        <v>0</v>
      </c>
      <c r="M10" s="477">
        <f>transport!M54</f>
        <v>8.0728738635305053</v>
      </c>
      <c r="N10" s="477">
        <f>transport!N54</f>
        <v>0</v>
      </c>
      <c r="O10" s="477">
        <f>transport!O54</f>
        <v>0</v>
      </c>
      <c r="P10" s="478">
        <f>transport!P54</f>
        <v>0</v>
      </c>
      <c r="Q10" s="476">
        <f t="shared" si="0"/>
        <v>150.21198209383022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355.35310413749801</v>
      </c>
      <c r="C14" s="484"/>
      <c r="D14" s="484">
        <f>'SEAP template'!E25</f>
        <v>698.80671178262003</v>
      </c>
      <c r="E14" s="484"/>
      <c r="F14" s="484"/>
      <c r="G14" s="484"/>
      <c r="H14" s="484"/>
      <c r="I14" s="484"/>
      <c r="J14" s="484"/>
      <c r="K14" s="484"/>
      <c r="L14" s="484"/>
      <c r="M14" s="484"/>
      <c r="N14" s="484"/>
      <c r="O14" s="484"/>
      <c r="P14" s="485"/>
      <c r="Q14" s="476">
        <f t="shared" si="0"/>
        <v>1054.159815920118</v>
      </c>
    </row>
    <row r="15" spans="1:17" s="486" customFormat="1">
      <c r="A15" s="1039" t="s">
        <v>555</v>
      </c>
      <c r="B15" s="987">
        <f ca="1">SUM(B4:B14)</f>
        <v>37676.923656199149</v>
      </c>
      <c r="C15" s="987">
        <f t="shared" ref="C15:Q15" ca="1" si="1">SUM(C4:C14)</f>
        <v>6467.1428571428569</v>
      </c>
      <c r="D15" s="987">
        <f t="shared" ca="1" si="1"/>
        <v>33311.90546227224</v>
      </c>
      <c r="E15" s="987">
        <f t="shared" si="1"/>
        <v>4214.0794586312495</v>
      </c>
      <c r="F15" s="987">
        <f t="shared" ca="1" si="1"/>
        <v>40182.092555461495</v>
      </c>
      <c r="G15" s="987">
        <f t="shared" si="1"/>
        <v>29241.579815467041</v>
      </c>
      <c r="H15" s="987">
        <f t="shared" si="1"/>
        <v>5466.3569782084642</v>
      </c>
      <c r="I15" s="987">
        <f t="shared" si="1"/>
        <v>0</v>
      </c>
      <c r="J15" s="987">
        <f t="shared" si="1"/>
        <v>441.5162578003555</v>
      </c>
      <c r="K15" s="987">
        <f t="shared" si="1"/>
        <v>0</v>
      </c>
      <c r="L15" s="987">
        <f t="shared" ca="1" si="1"/>
        <v>0</v>
      </c>
      <c r="M15" s="987">
        <f t="shared" si="1"/>
        <v>1869.4878758963723</v>
      </c>
      <c r="N15" s="987">
        <f t="shared" ca="1" si="1"/>
        <v>15353.083150260176</v>
      </c>
      <c r="O15" s="987">
        <f t="shared" si="1"/>
        <v>215.74</v>
      </c>
      <c r="P15" s="987">
        <f t="shared" si="1"/>
        <v>629.20000000000005</v>
      </c>
      <c r="Q15" s="987">
        <f t="shared" ca="1" si="1"/>
        <v>175069.1080673394</v>
      </c>
    </row>
    <row r="17" spans="1:17">
      <c r="A17" s="487" t="s">
        <v>556</v>
      </c>
      <c r="B17" s="786">
        <f ca="1">huishoudens!B10</f>
        <v>0.20532480392630456</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2868.6574544986811</v>
      </c>
      <c r="C22" s="477">
        <f t="shared" ref="C22:C32" ca="1" si="3">C4*$C$17</f>
        <v>0</v>
      </c>
      <c r="D22" s="477">
        <f t="shared" ref="D22:D32" si="4">D4*$D$17</f>
        <v>4403.4393403570193</v>
      </c>
      <c r="E22" s="477">
        <f t="shared" ref="E22:E32" si="5">E4*$E$17</f>
        <v>680.78723349090831</v>
      </c>
      <c r="F22" s="477">
        <f t="shared" ref="F22:F32" si="6">F4*$F$17</f>
        <v>6390.9947242696062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14343.878752616216</v>
      </c>
    </row>
    <row r="23" spans="1:17">
      <c r="A23" s="476" t="s">
        <v>156</v>
      </c>
      <c r="B23" s="477">
        <f t="shared" ca="1" si="2"/>
        <v>1457.9883884247745</v>
      </c>
      <c r="C23" s="477">
        <f t="shared" ca="1" si="3"/>
        <v>0</v>
      </c>
      <c r="D23" s="477">
        <f t="shared" ca="1" si="4"/>
        <v>1888.8464782828607</v>
      </c>
      <c r="E23" s="477">
        <f t="shared" si="5"/>
        <v>21.975791723192533</v>
      </c>
      <c r="F23" s="477">
        <f t="shared" ca="1" si="6"/>
        <v>350.91147140526579</v>
      </c>
      <c r="G23" s="477">
        <f t="shared" si="7"/>
        <v>0</v>
      </c>
      <c r="H23" s="477">
        <f t="shared" si="8"/>
        <v>0</v>
      </c>
      <c r="I23" s="477">
        <f t="shared" si="9"/>
        <v>0</v>
      </c>
      <c r="J23" s="477">
        <f t="shared" si="10"/>
        <v>1.1174103154575806E-2</v>
      </c>
      <c r="K23" s="477">
        <f t="shared" si="11"/>
        <v>0</v>
      </c>
      <c r="L23" s="477">
        <f t="shared" ca="1" si="12"/>
        <v>0</v>
      </c>
      <c r="M23" s="477">
        <f t="shared" si="13"/>
        <v>0</v>
      </c>
      <c r="N23" s="477">
        <f t="shared" ca="1" si="14"/>
        <v>0</v>
      </c>
      <c r="O23" s="477">
        <f t="shared" si="15"/>
        <v>0</v>
      </c>
      <c r="P23" s="478">
        <f t="shared" si="16"/>
        <v>0</v>
      </c>
      <c r="Q23" s="476">
        <f t="shared" ref="Q23:Q32" ca="1" si="17">SUM(B23:P23)</f>
        <v>3719.7333039392483</v>
      </c>
    </row>
    <row r="24" spans="1:17">
      <c r="A24" s="476" t="s">
        <v>194</v>
      </c>
      <c r="B24" s="477">
        <f t="shared" ca="1" si="2"/>
        <v>128.94048634405252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128.94048634405252</v>
      </c>
    </row>
    <row r="25" spans="1:17">
      <c r="A25" s="476" t="s">
        <v>112</v>
      </c>
      <c r="B25" s="477">
        <f t="shared" ca="1" si="2"/>
        <v>576.73857419276317</v>
      </c>
      <c r="C25" s="477">
        <f t="shared" ca="1" si="3"/>
        <v>1536.8974789915969</v>
      </c>
      <c r="D25" s="477">
        <f t="shared" si="4"/>
        <v>0</v>
      </c>
      <c r="E25" s="477">
        <f t="shared" si="5"/>
        <v>18.741664431590227</v>
      </c>
      <c r="F25" s="477">
        <f t="shared" si="6"/>
        <v>3124.3701243904325</v>
      </c>
      <c r="G25" s="477">
        <f t="shared" si="7"/>
        <v>0</v>
      </c>
      <c r="H25" s="477">
        <f t="shared" si="8"/>
        <v>0</v>
      </c>
      <c r="I25" s="477">
        <f t="shared" si="9"/>
        <v>0</v>
      </c>
      <c r="J25" s="477">
        <f t="shared" si="10"/>
        <v>144.06048075450249</v>
      </c>
      <c r="K25" s="477">
        <f t="shared" si="11"/>
        <v>0</v>
      </c>
      <c r="L25" s="477">
        <f t="shared" si="12"/>
        <v>0</v>
      </c>
      <c r="M25" s="477">
        <f t="shared" si="13"/>
        <v>0</v>
      </c>
      <c r="N25" s="477">
        <f t="shared" si="14"/>
        <v>0</v>
      </c>
      <c r="O25" s="477">
        <f t="shared" si="15"/>
        <v>0</v>
      </c>
      <c r="P25" s="478">
        <f t="shared" si="16"/>
        <v>0</v>
      </c>
      <c r="Q25" s="476">
        <f t="shared" ca="1" si="17"/>
        <v>5400.8083227608859</v>
      </c>
    </row>
    <row r="26" spans="1:17">
      <c r="A26" s="476" t="s">
        <v>635</v>
      </c>
      <c r="B26" s="477">
        <f t="shared" ca="1" si="2"/>
        <v>2628.0147629631192</v>
      </c>
      <c r="C26" s="477">
        <f t="shared" ca="1" si="3"/>
        <v>0</v>
      </c>
      <c r="D26" s="477">
        <f t="shared" si="4"/>
        <v>285.74012717347671</v>
      </c>
      <c r="E26" s="477">
        <f t="shared" si="5"/>
        <v>220.49231399851104</v>
      </c>
      <c r="F26" s="477">
        <f t="shared" si="6"/>
        <v>862.34239224291525</v>
      </c>
      <c r="G26" s="477">
        <f t="shared" si="7"/>
        <v>0</v>
      </c>
      <c r="H26" s="477">
        <f t="shared" si="8"/>
        <v>0</v>
      </c>
      <c r="I26" s="477">
        <f t="shared" si="9"/>
        <v>0</v>
      </c>
      <c r="J26" s="477">
        <f t="shared" si="10"/>
        <v>12.225100403668771</v>
      </c>
      <c r="K26" s="477">
        <f t="shared" si="11"/>
        <v>0</v>
      </c>
      <c r="L26" s="477">
        <f t="shared" si="12"/>
        <v>0</v>
      </c>
      <c r="M26" s="477">
        <f t="shared" si="13"/>
        <v>0</v>
      </c>
      <c r="N26" s="477">
        <f t="shared" si="14"/>
        <v>0</v>
      </c>
      <c r="O26" s="477">
        <f t="shared" si="15"/>
        <v>0</v>
      </c>
      <c r="P26" s="478">
        <f t="shared" si="16"/>
        <v>0</v>
      </c>
      <c r="Q26" s="476">
        <f t="shared" ca="1" si="17"/>
        <v>4008.8146967816911</v>
      </c>
    </row>
    <row r="27" spans="1:17" s="482" customFormat="1">
      <c r="A27" s="480" t="s">
        <v>561</v>
      </c>
      <c r="B27" s="780">
        <f t="shared" ca="1" si="2"/>
        <v>2.7044894004099396</v>
      </c>
      <c r="C27" s="481">
        <f t="shared" ca="1" si="3"/>
        <v>0</v>
      </c>
      <c r="D27" s="481">
        <f t="shared" si="4"/>
        <v>9.8200017855472765</v>
      </c>
      <c r="E27" s="481">
        <f t="shared" si="5"/>
        <v>14.599033465091587</v>
      </c>
      <c r="F27" s="481">
        <f t="shared" si="6"/>
        <v>0</v>
      </c>
      <c r="G27" s="481">
        <f t="shared" si="7"/>
        <v>7769.5506688322112</v>
      </c>
      <c r="H27" s="481">
        <f t="shared" si="8"/>
        <v>1361.1228875739075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9157.7970810571678</v>
      </c>
    </row>
    <row r="28" spans="1:17">
      <c r="A28" s="476" t="s">
        <v>551</v>
      </c>
      <c r="B28" s="477">
        <f t="shared" ca="1" si="2"/>
        <v>0</v>
      </c>
      <c r="C28" s="477">
        <f t="shared" ca="1" si="3"/>
        <v>0</v>
      </c>
      <c r="D28" s="477">
        <f t="shared" si="4"/>
        <v>0</v>
      </c>
      <c r="E28" s="477">
        <f t="shared" si="5"/>
        <v>0</v>
      </c>
      <c r="F28" s="477">
        <f t="shared" si="6"/>
        <v>0</v>
      </c>
      <c r="G28" s="477">
        <f t="shared" si="7"/>
        <v>37.951141897490025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37.951141897490025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72.962806431635471</v>
      </c>
      <c r="C32" s="477">
        <f t="shared" ca="1" si="3"/>
        <v>0</v>
      </c>
      <c r="D32" s="477">
        <f t="shared" si="4"/>
        <v>141.15895578008926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214.12176221172473</v>
      </c>
    </row>
    <row r="33" spans="1:17" s="486" customFormat="1">
      <c r="A33" s="1039" t="s">
        <v>555</v>
      </c>
      <c r="B33" s="987">
        <f ca="1">SUM(B22:B32)</f>
        <v>7736.0069622554356</v>
      </c>
      <c r="C33" s="987">
        <f t="shared" ref="C33:Q33" ca="1" si="18">SUM(C22:C32)</f>
        <v>1536.8974789915969</v>
      </c>
      <c r="D33" s="987">
        <f t="shared" ca="1" si="18"/>
        <v>6729.0049033789928</v>
      </c>
      <c r="E33" s="987">
        <f t="shared" si="18"/>
        <v>956.59603710929366</v>
      </c>
      <c r="F33" s="987">
        <f t="shared" ca="1" si="18"/>
        <v>10728.61871230822</v>
      </c>
      <c r="G33" s="987">
        <f t="shared" si="18"/>
        <v>7807.501810729701</v>
      </c>
      <c r="H33" s="987">
        <f t="shared" si="18"/>
        <v>1361.1228875739075</v>
      </c>
      <c r="I33" s="987">
        <f t="shared" si="18"/>
        <v>0</v>
      </c>
      <c r="J33" s="987">
        <f t="shared" si="18"/>
        <v>156.29675526132584</v>
      </c>
      <c r="K33" s="987">
        <f t="shared" si="18"/>
        <v>0</v>
      </c>
      <c r="L33" s="987">
        <f t="shared" ca="1" si="18"/>
        <v>0</v>
      </c>
      <c r="M33" s="987">
        <f t="shared" si="18"/>
        <v>0</v>
      </c>
      <c r="N33" s="987">
        <f t="shared" ca="1" si="18"/>
        <v>0</v>
      </c>
      <c r="O33" s="987">
        <f t="shared" si="18"/>
        <v>0</v>
      </c>
      <c r="P33" s="987">
        <f t="shared" si="18"/>
        <v>0</v>
      </c>
      <c r="Q33" s="987">
        <f t="shared" ca="1" si="18"/>
        <v>37012.045547608475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3013.3683305823197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4527</v>
      </c>
      <c r="D8" s="1056">
        <f>'SEAP template'!D76</f>
        <v>5325.8823529411775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1075.828235294118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3013.3683305823197</v>
      </c>
      <c r="C10" s="1060">
        <f>SUM(C4:C9)</f>
        <v>4527</v>
      </c>
      <c r="D10" s="1060">
        <f t="shared" ref="D10:H10" si="0">SUM(D8:D9)</f>
        <v>5325.8823529411775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1075.828235294118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0.20532480392630456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6467.1428571428569</v>
      </c>
      <c r="D17" s="1057">
        <f>'SEAP template'!D87</f>
        <v>7608.403361344539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1536.8974789915969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6467.1428571428569</v>
      </c>
      <c r="D20" s="1060">
        <f t="shared" ref="D20:H20" si="2">SUM(D17:D19)</f>
        <v>7608.403361344539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1536.8974789915969</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0.20532480392630456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2019-08-12T08:33:53Z</dcterms:modified>
</cp:coreProperties>
</file>