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<sst xmlns="http://schemas.openxmlformats.org/spreadsheetml/2006/main" count="2392" uniqueCount="888">
  <si>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</si>
  <si>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</si>
  <si>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</si>
  <si>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</si>
  <si>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</si>
  <si>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</si>
  <si>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</si>
  <si>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</si>
  <si>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</si>
  <si>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</si>
  <si>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</si>
  <si>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</si>
  <si>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</si>
  <si>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</si>
  <si>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</si>
  <si>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</si>
  <si>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</si>
  <si>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</si>
  <si>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</si>
  <si>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</si>
  <si>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</si>
  <si>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</si>
  <si>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</si>
  <si>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</si>
  <si>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</si>
  <si>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</si>
  <si>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</si>
  <si>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</si>
  <si>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</si>
  <si>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</si>
  <si>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</si>
  <si>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</si>
  <si>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</si>
  <si>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</si>
  <si>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</si>
  <si>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</si>
  <si>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</si>
  <si>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</si>
  <si>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</si>
  <si>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</si>
  <si>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</si>
  <si>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</si>
  <si>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</si>
  <si>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</si>
  <si>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</si>
  <si>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</si>
  <si>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</si>
  <si>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</si>
  <si>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</si>
  <si>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</si>
  <si>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</si>
  <si>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</si>
  <si>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</si>
  <si>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</si>
  <si>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</si>
  <si>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</si>
  <si>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</si>
  <si>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</si>
  <si>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</si>
  <si>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</si>
  <si>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</si>
  <si>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</si>
  <si>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</si>
  <si>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</si>
  <si>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</si>
  <si>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</si>
  <si>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</si>
  <si>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</si>
  <si>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</si>
  <si>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</si>
  <si>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</si>
  <si>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</si>
  <si>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</si>
  <si>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</si>
  <si>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</si>
  <si>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</si>
  <si>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</si>
  <si>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</si>
  <si>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</si>
  <si>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</si>
  <si>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</si>
  <si>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</si>
  <si>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</si>
  <si>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</si>
  <si>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</si>
  <si>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</si>
  <si>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</si>
  <si>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</si>
  <si>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</si>
  <si>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</si>
  <si>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</si>
  <si>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</si>
  <si>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</si>
  <si>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</si>
  <si>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</si>
  <si>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</si>
  <si>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</si>
  <si>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</si>
  <si>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</si>
  <si>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</si>
  <si>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</si>
  <si>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</si>
  <si>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</si>
  <si>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</si>
  <si>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</si>
  <si>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</si>
  <si>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</si>
  <si>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</si>
  <si>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</si>
  <si>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</si>
  <si>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</si>
  <si>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</si>
  <si>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</si>
  <si>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</si>
  <si>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</si>
  <si>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</si>
  <si>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</si>
  <si>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</si>
  <si>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</si>
  <si>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</si>
  <si>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</si>
  <si>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</si>
  <si>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</si>
  <si>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</si>
  <si>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</si>
  <si>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</si>
  <si>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</si>
  <si>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</si>
  <si>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</si>
  <si>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</si>
  <si>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</si>
  <si>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</si>
  <si>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</si>
  <si>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</si>
  <si>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</si>
  <si>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</si>
  <si>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</si>
  <si>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</si>
  <si>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</si>
  <si>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</si>
  <si>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</si>
  <si>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</si>
  <si>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</si>
  <si>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</si>
  <si>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</si>
  <si>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</si>
  <si>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</si>
  <si>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</si>
  <si>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</si>
  <si>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</si>
  <si>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</si>
  <si>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</si>
  <si>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</si>
  <si>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</si>
  <si>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</si>
  <si>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</si>
  <si>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</si>
  <si>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</si>
  <si>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</si>
  <si>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</si>
  <si>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</si>
  <si>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</si>
  <si>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</si>
  <si>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</si>
  <si>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</si>
  <si>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</si>
  <si>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</si>
  <si>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</si>
  <si>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</si>
  <si>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</si>
  <si>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</si>
  <si>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</si>
  <si>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</si>
  <si>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</si>
  <si>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</si>
  <si>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</si>
  <si>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</si>
  <si>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</si>
  <si>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</si>
  <si>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</si>
  <si>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</si>
  <si>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</si>
  <si>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</si>
  <si>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</si>
  <si>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</si>
  <si>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</si>
  <si>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</si>
  <si>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</si>
  <si>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</si>
  <si>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</si>
  <si>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</si>
  <si>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</si>
  <si>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</si>
  <si>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</si>
  <si>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</si>
  <si>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</si>
  <si>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</si>
  <si>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</si>
  <si>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</si>
  <si>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</si>
  <si>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</si>
  <si>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</si>
  <si>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</si>
  <si>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</si>
  <si>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</si>
  <si>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</si>
  <si>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</si>
  <si>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</si>
  <si>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</si>
  <si>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</si>
  <si>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</si>
  <si>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</si>
  <si>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</si>
  <si>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</si>
  <si>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</si>
  <si>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</si>
  <si>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</si>
  <si>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</si>
  <si>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</si>
  <si>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</si>
  <si>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</si>
  <si>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</si>
  <si>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</si>
  <si>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</si>
  <si>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</si>
  <si>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</si>
  <si>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</si>
  <si>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</si>
  <si>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</si>
  <si>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</si>
  <si>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</si>
  <si>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</si>
  <si>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</si>
  <si>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</si>
  <si>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</si>
  <si>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</si>
  <si>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</si>
  <si>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</si>
  <si>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</si>
  <si>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</si>
  <si>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</si>
  <si>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</si>
  <si>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</si>
  <si>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</si>
  <si>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</si>
  <si>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</si>
  <si>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</si>
  <si>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</si>
  <si>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</si>
  <si>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</si>
  <si>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</si>
  <si>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</si>
  <si>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</si>
  <si>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</si>
  <si>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</si>
  <si>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</si>
  <si>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</si>
  <si>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</si>
  <si>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</si>
  <si>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</si>
  <si>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</si>
  <si>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</si>
  <si>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</si>
  <si>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</si>
  <si>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</si>
  <si>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</si>
  <si>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</si>
  <si>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</si>
  <si>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</si>
  <si>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</si>
  <si>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</si>
  <si>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</si>
  <si>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</si>
  <si>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</si>
  <si>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</si>
  <si>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</si>
  <si>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</si>
  <si>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</si>
  <si>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</si>
  <si>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</si>
  <si>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</si>
  <si>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</si>
  <si>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</si>
  <si>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</si>
  <si>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</si>
  <si>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</si>
  <si>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</si>
  <si>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</si>
  <si>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</si>
  <si>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</si>
  <si>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</si>
  <si>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</si>
  <si>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</si>
  <si>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</si>
  <si>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</si>
  <si>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</si>
  <si>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</si>
  <si>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</si>
  <si>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</si>
  <si>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</si>
  <si>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</si>
  <si>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</si>
  <si>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</si>
  <si>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</si>
  <si>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</si>
  <si>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</si>
  <si>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</si>
  <si>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</si>
  <si>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</si>
  <si>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</si>
  <si>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</si>
  <si>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</si>
  <si>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</si>
  <si>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</si>
  <si>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</si>
  <si>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</si>
  <si>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</si>
  <si>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</si>
  <si>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</si>
  <si>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</si>
  <si>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</si>
  <si>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</si>
  <si>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</si>
  <si>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</si>
  <si>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</si>
  <si>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</si>
  <si>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</si>
  <si>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</si>
  <si>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</si>
  <si>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</si>
  <si>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</si>
  <si>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</si>
  <si>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</si>
  <si>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</si>
  <si>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</si>
  <si>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</si>
  <si>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</si>
  <si>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</si>
  <si>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</si>
  <si>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</si>
  <si>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</si>
  <si>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</si>
  <si>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</si>
  <si>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</si>
  <si>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</si>
  <si>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</si>
  <si>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</si>
  <si>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</si>
  <si>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</si>
  <si>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</si>
  <si>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</si>
  <si>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</si>
  <si>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</si>
  <si>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</si>
  <si>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</si>
  <si>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</si>
  <si>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</si>
  <si>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</si>
  <si>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</si>
  <si>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</si>
  <si>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</si>
  <si>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</si>
  <si>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</si>
  <si>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</si>
  <si>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</si>
  <si>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</si>
  <si>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</si>
  <si>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</si>
  <si>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</si>
  <si>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</si>
  <si>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</si>
  <si>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</si>
  <si>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</si>
  <si>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</si>
  <si>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</si>
  <si>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</si>
  <si>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</si>
  <si>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</si>
  <si>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</si>
  <si>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</si>
  <si>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</si>
  <si>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</si>
  <si>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</si>
  <si>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</si>
  <si>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</si>
  <si>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</si>
  <si>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</si>
  <si>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</si>
  <si>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</si>
  <si>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</si>
  <si>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</si>
  <si>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</si>
  <si>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</si>
  <si>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</si>
  <si>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</si>
  <si>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</si>
  <si>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</si>
  <si>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</si>
  <si>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</si>
  <si>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</si>
  <si>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</si>
  <si>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</si>
  <si>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</si>
  <si>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</si>
  <si>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</si>
  <si>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</si>
  <si>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</si>
  <si>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</si>
  <si>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</si>
  <si>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</si>
  <si>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</si>
  <si>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</si>
  <si>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</si>
  <si>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</si>
  <si>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</si>
  <si>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</si>
  <si>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</si>
  <si>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</si>
  <si>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</si>
  <si>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</si>
  <si>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</si>
  <si>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</si>
  <si>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</si>
  <si>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</si>
  <si>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</si>
  <si>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</si>
  <si>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</si>
  <si>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</si>
  <si>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</si>
  <si>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</si>
  <si>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</si>
  <si>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</si>
  <si>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</si>
  <si>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</si>
  <si>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</si>
  <si>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</si>
  <si>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</si>
  <si>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</si>
  <si>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</si>
  <si>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</si>
  <si>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</si>
  <si>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</si>
  <si>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</si>
  <si>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</si>
  <si>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</si>
  <si>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</si>
  <si>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</si>
  <si>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</si>
  <si>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</si>
  <si>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</si>
  <si>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</si>
  <si>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</si>
  <si>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</si>
  <si>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</si>
  <si>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</si>
  <si>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</si>
  <si>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</si>
  <si>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</si>
  <si>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</si>
  <si>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</si>
  <si>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</si>
  <si>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</si>
  <si>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</si>
  <si>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</si>
  <si>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</si>
  <si>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</si>
  <si>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</si>
  <si>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</si>
  <si>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</si>
  <si>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</si>
  <si>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</si>
  <si>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</si>
  <si>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</si>
  <si>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</si>
  <si>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</si>
  <si>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</si>
  <si>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</si>
  <si>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</si>
  <si>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</si>
  <si>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</si>
  <si>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</si>
  <si>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</si>
  <si>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</si>
  <si>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</si>
  <si>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</si>
  <si>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</si>
  <si>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</si>
  <si>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</si>
  <si>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</si>
  <si>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</si>
  <si>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</si>
  <si>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</si>
  <si>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</si>
  <si>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</si>
  <si>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</si>
  <si>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</si>
  <si>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</si>
  <si>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</si>
  <si>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</si>
  <si>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</si>
  <si>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</si>
  <si>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</si>
  <si>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</si>
  <si>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</si>
  <si>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</si>
  <si>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</si>
  <si>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</si>
  <si>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</si>
  <si>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</si>
  <si>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</si>
  <si>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</si>
  <si>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</si>
  <si>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</si>
  <si>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</si>
  <si>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</si>
  <si>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</si>
  <si>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</si>
  <si>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</si>
  <si>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</si>
  <si>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</si>
  <si>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</si>
  <si>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</si>
  <si>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</si>
  <si>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</si>
  <si>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</si>
  <si>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</si>
  <si>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</si>
  <si>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</si>
  <si>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</si>
  <si>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</si>
  <si>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</si>
  <si>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</si>
  <si>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</si>
  <si>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</si>
  <si>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</si>
  <si>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</si>
  <si>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</si>
  <si>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</si>
  <si>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</si>
  <si>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</si>
  <si>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</si>
  <si>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</si>
  <si>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</si>
  <si>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</si>
  <si>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</si>
  <si>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</si>
  <si>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</si>
  <si>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</si>
  <si>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</si>
  <si>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</si>
  <si>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</si>
  <si>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</si>
  <si>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</si>
  <si>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</si>
  <si>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</si>
  <si>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</si>
  <si>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</si>
  <si>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</si>
  <si>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</si>
  <si>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</si>
  <si>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</si>
  <si>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</si>
  <si>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</si>
  <si>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</si>
  <si>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</si>
  <si>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</si>
  <si>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</si>
  <si>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</si>
  <si>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</si>
  <si>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</si>
  <si>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</si>
  <si>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</si>
  <si>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</si>
  <si>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</si>
  <si>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</si>
  <si>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</si>
  <si>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</si>
  <si>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</si>
  <si>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</si>
  <si>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</si>
  <si>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</si>
  <si>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</si>
  <si>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</si>
  <si>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</si>
  <si>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</si>
  <si>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</si>
  <si>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</si>
  <si>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</si>
  <si>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</si>
  <si>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</si>
  <si>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</si>
  <si>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</si>
  <si>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</si>
  <si>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</si>
  <si>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</si>
  <si>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</si>
  <si>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</si>
  <si>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</si>
  <si>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</si>
  <si>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</si>
  <si>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</si>
  <si>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</si>
  <si>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</si>
  <si>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</si>
  <si>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</si>
  <si>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</si>
  <si>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</si>
  <si>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</si>
  <si>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</si>
  <si>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</si>
  <si>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</si>
  <si>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</si>
  <si>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</si>
  <si>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</si>
  <si>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</si>
  <si>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</si>
  <si>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</si>
  <si>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</si>
  <si>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</si>
  <si>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</si>
  <si>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</si>
  <si>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</si>
  <si>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</si>
  <si>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</si>
  <si>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</si>
  <si>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</si>
  <si>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</si>
  <si>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</si>
  <si>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</si>
  <si>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</si>
  <si>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</si>
  <si>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</si>
  <si>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</si>
  <si>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</si>
  <si>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</si>
  <si>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</si>
  <si>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</si>
  <si>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</si>
  <si>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</si>
  <si>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</si>
  <si>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</si>
  <si>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</si>
  <si>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</si>
  <si>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</si>
  <si>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</si>
  <si>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</si>
  <si>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</si>
  <si>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</si>
  <si>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</si>
  <si>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</si>
  <si>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</si>
  <si>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</si>
  <si>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</si>
  <si>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</si>
  <si>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</si>
  <si>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</si>
  <si>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</si>
  <si>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</si>
  <si>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</si>
  <si>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</si>
  <si>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</si>
  <si>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</si>
  <si>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</si>
  <si>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</si>
  <si>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</si>
  <si>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</si>
  <si>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</si>
  <si>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</si>
  <si>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</si>
  <si>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</si>
  <si>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</si>
  <si>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</si>
  <si>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</si>
  <si>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</si>
  <si>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</si>
  <si>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</si>
  <si>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</si>
  <si>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</si>
  <si>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</si>
  <si>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</si>
  <si>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</si>
  <si>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</si>
  <si>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</si>
  <si>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</si>
  <si>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</si>
  <si>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</si>
  <si>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</si>
  <si>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</si>
  <si>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</si>
  <si>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</si>
  <si>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</si>
  <si>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</si>
  <si>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</si>
  <si>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</si>
  <si>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</si>
  <si>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</si>
  <si>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</si>
  <si>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</si>
  <si>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</si>
  <si>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</si>
  <si>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</si>
  <si>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</si>
  <si>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</si>
  <si>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</si>
  <si>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</si>
  <si>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</si>
  <si>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</si>
  <si>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</si>
  <si>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</si>
  <si>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</si>
  <si>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</si>
  <si>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</si>
  <si>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</si>
  <si>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</si>
  <si>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</si>
  <si>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</si>
  <si>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</si>
  <si>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</si>
  <si>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</si>
  <si>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</si>
  <si>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</si>
  <si>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</si>
  <si>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</si>
  <si>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</si>
  <si>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</si>
  <si>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</si>
  <si>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</si>
  <si>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</si>
  <si>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</si>
  <si>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</si>
  <si>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</si>
  <si>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</si>
  <si>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</si>
  <si>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</si>
  <si>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</si>
  <si>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</si>
  <si>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</si>
  <si>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</si>
  <si>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</si>
  <si>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</si>
  <si>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</si>
  <si>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</si>
  <si>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</si>
  <si>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</si>
  <si>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</si>
  <si>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</si>
  <si>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</si>
  <si>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</si>
  <si>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</si>
  <si>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</si>
  <si>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</si>
  <si>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</si>
  <si>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</si>
  <si>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</si>
  <si>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</si>
  <si>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</si>
  <si>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</si>
  <si>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</si>
  <si>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</si>
  <si>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</si>
  <si>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</si>
  <si>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</si>
  <si>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</si>
  <si>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</si>
  <si>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</si>
  <si>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</si>
  <si>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</si>
  <si>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</si>
  <si>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</si>
  <si>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</si>
  <si>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</si>
  <si>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</si>
  <si>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</si>
  <si>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</si>
  <si>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</si>
  <si>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</si>
  <si>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</si>
  <si>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</si>
  <si>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</si>
  <si>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</si>
  <si>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</si>
  <si>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</si>
  <si>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</si>
  <si>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</si>
  <si>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</si>
  <si>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</si>
  <si>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</si>
  <si>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</si>
  <si>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</si>
  <si>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</si>
  <si>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</si>
  <si>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</si>
  <si>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</si>
  <si>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</si>
  <si>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</si>
  <si>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</si>
  <si>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</si>
  <si>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</si>
  <si>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</si>
  <si>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</si>
  <si>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</si>
  <si>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</si>
  <si>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</si>
  <si>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</si>
  <si>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</si>
  <si>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</si>
  <si>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</si>
  <si>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</si>
  <si>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</si>
  <si>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</si>
  <si>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</si>
  <si>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</si>
  <si>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</si>
  <si>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</si>
  <si>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</si>
  <si>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</si>
  <si>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</si>
  <si>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</si>
  <si>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</si>
  <si>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</si>
  <si>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</si>
  <si>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</si>
  <si>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</si>
  <si>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</si>
  <si>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</si>
  <si>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</si>
  <si>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</si>
  <si>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</si>
  <si>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</si>
  <si>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</si>
  <si>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</si>
  <si>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</si>
  <si>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</si>
  <si>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</si>
  <si>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</si>
  <si>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</si>
  <si>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</si>
  <si>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</si>
  <si>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</si>
  <si>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</si>
  <si>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</si>
  <si>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</si>
  <si>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</si>
  <si>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</si>
  <si>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</si>
  <si>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</si>
  <si>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</si>
  <si>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</si>
  <si>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</si>
  <si>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</si>
  <si>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</si>
  <si>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</si>
  <si>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</si>
  <si>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</si>
  <si>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</si>
  <si>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</si>
  <si>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</si>
  <si>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</si>
  <si>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</si>
  <si>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</si>
  <si>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</si>
  <si>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</si>
  <si>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</si>
  <si>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</si>
  <si>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</si>
  <si>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</si>
  <si>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</si>
  <si>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</si>
  <si>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</si>
  <si>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</si>
  <si>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</si>
  <si>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</si>
  <si>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</si>
  <si>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36012</t>
  </si>
  <si>
    <t>MOORSLEDE</t>
  </si>
  <si>
    <t>Eandis (januari 2018); Infrax (juni 2018)</t>
  </si>
  <si>
    <t>MOW (september 2017)</t>
  </si>
  <si>
    <t>referentietaak LNE (2017); Jaarverslag De Lijn (2016)</t>
  </si>
  <si>
    <t>VEA (april 2018)</t>
  </si>
  <si>
    <t>VEA (januari 2017)</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</si>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</sst>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95711.814061419122</c:v>
                </c:pt>
                <c:pt idx="1">
                  <c:v>47456.387961671993</c:v>
                </c:pt>
                <c:pt idx="2">
                  <c:v>984.98900000000003</c:v>
                </c:pt>
                <c:pt idx="3">
                  <c:v>11854.95807602535</c:v>
                </c:pt>
                <c:pt idx="4">
                  <c:v>51858.712457780959</c:v>
                </c:pt>
                <c:pt idx="5">
                  <c:v>37834.438737116878</c:v>
                </c:pt>
                <c:pt idx="6">
                  <c:v>1245.3952286646347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767936"/>
        <c:axId val="175769472"/>
      </c:barChart>
      <c:catAx>
        <c:axId val="175767936"/>
        <c:scaling>
          <c:orientation val="minMax"/>
        </c:scaling>
        <c:axPos val="b"/>
        <c:numFmt formatCode="General" sourceLinked="0"/>
        <c:tickLblPos val="nextTo"/>
        <c:crossAx val="175769472"/>
        <c:crosses val="autoZero"/>
        <c:auto val="1"/>
        <c:lblAlgn val="ctr"/>
        <c:lblOffset val="100"/>
      </c:catAx>
      <c:valAx>
        <c:axId val="175769472"/>
        <c:scaling>
          <c:orientation val="minMax"/>
        </c:scaling>
        <c:axPos val="l"/>
        <c:majorGridlines>
          <c:spPr>
            <a:ln>
              <a:noFill/>
            </a:ln>
          </c:spPr>
        </c:majorGridlines>
        <c:numFmt formatCode="#,##0" sourceLinked="1"/>
        <c:tickLblPos val="nextTo"/>
        <c:crossAx val="1757679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95711.814061419122</c:v>
                </c:pt>
                <c:pt idx="1">
                  <c:v>47456.387961671993</c:v>
                </c:pt>
                <c:pt idx="2">
                  <c:v>984.98900000000003</c:v>
                </c:pt>
                <c:pt idx="3">
                  <c:v>11854.95807602535</c:v>
                </c:pt>
                <c:pt idx="4">
                  <c:v>51858.712457780959</c:v>
                </c:pt>
                <c:pt idx="5">
                  <c:v>37834.438737116878</c:v>
                </c:pt>
                <c:pt idx="6">
                  <c:v>1245.3952286646347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16169.451518983271</c:v>
                </c:pt>
                <c:pt idx="2">
                  <c:v>7397.3091984532339</c:v>
                </c:pt>
                <c:pt idx="3">
                  <c:v>179.25077907629745</c:v>
                </c:pt>
                <c:pt idx="4">
                  <c:v>2990.7300158716553</c:v>
                </c:pt>
                <c:pt idx="5">
                  <c:v>9471.8462236775849</c:v>
                </c:pt>
                <c:pt idx="6">
                  <c:v>9454.6627793749867</c:v>
                </c:pt>
                <c:pt idx="7">
                  <c:v>314.64980611190475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351872"/>
        <c:axId val="176357760"/>
      </c:barChart>
      <c:catAx>
        <c:axId val="176351872"/>
        <c:scaling>
          <c:orientation val="minMax"/>
        </c:scaling>
        <c:axPos val="b"/>
        <c:numFmt formatCode="General" sourceLinked="0"/>
        <c:tickLblPos val="nextTo"/>
        <c:crossAx val="176357760"/>
        <c:crosses val="autoZero"/>
        <c:auto val="1"/>
        <c:lblAlgn val="ctr"/>
        <c:lblOffset val="100"/>
      </c:catAx>
      <c:valAx>
        <c:axId val="176357760"/>
        <c:scaling>
          <c:orientation val="minMax"/>
        </c:scaling>
        <c:axPos val="l"/>
        <c:majorGridlines>
          <c:spPr>
            <a:ln>
              <a:noFill/>
            </a:ln>
          </c:spPr>
        </c:majorGridlines>
        <c:numFmt formatCode="#,##0" sourceLinked="1"/>
        <c:tickLblPos val="nextTo"/>
        <c:crossAx val="1763518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16169.451518983271</c:v>
                </c:pt>
                <c:pt idx="2">
                  <c:v>7397.3091984532339</c:v>
                </c:pt>
                <c:pt idx="3">
                  <c:v>179.25077907629745</c:v>
                </c:pt>
                <c:pt idx="4">
                  <c:v>2990.7300158716553</c:v>
                </c:pt>
                <c:pt idx="5">
                  <c:v>9471.8462236775849</c:v>
                </c:pt>
                <c:pt idx="6">
                  <c:v>9454.6627793749867</c:v>
                </c:pt>
                <c:pt idx="7">
                  <c:v>314.64980611190475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21966.429575903792</v>
      </c>
      <c r="D10" s="1013">
        <f ca="1">tertiair!C16</f>
        <v>9552.8571428571431</v>
      </c>
      <c r="E10" s="1013">
        <f ca="1">tertiair!D16</f>
        <v>14131.617558112543</v>
      </c>
      <c r="F10" s="1013">
        <f>tertiair!E16</f>
        <v>218.53446534312195</v>
      </c>
      <c r="G10" s="1013">
        <f ca="1">tertiair!F16</f>
        <v>2527.5117564002512</v>
      </c>
      <c r="H10" s="1013">
        <f>tertiair!G16</f>
        <v>0</v>
      </c>
      <c r="I10" s="1013">
        <f>tertiair!H16</f>
        <v>0</v>
      </c>
      <c r="J10" s="1013">
        <f>tertiair!I16</f>
        <v>0</v>
      </c>
      <c r="K10" s="1013">
        <f>tertiair!J16</f>
        <v>3.9796388473157279E-2</v>
      </c>
      <c r="L10" s="1013">
        <f>tertiair!K16</f>
        <v>0</v>
      </c>
      <c r="M10" s="1013">
        <f ca="1">tertiair!L16</f>
        <v>0</v>
      </c>
      <c r="N10" s="1013">
        <f>tertiair!M16</f>
        <v>0</v>
      </c>
      <c r="O10" s="1013">
        <f ca="1">tertiair!N16</f>
        <v>0</v>
      </c>
      <c r="P10" s="1013">
        <f>tertiair!O16</f>
        <v>6.2533333333333339</v>
      </c>
      <c r="Q10" s="1014">
        <f>tertiair!P16</f>
        <v>38.133333333333333</v>
      </c>
      <c r="R10" s="700">
        <f ca="1">SUM(C10:Q10)</f>
        <v>48441.376961671995</v>
      </c>
      <c r="S10" s="67"/>
    </row>
    <row r="11" spans="1:19" s="473" customFormat="1">
      <c r="A11" s="809" t="s">
        <v>225</v>
      </c>
      <c r="B11" s="814"/>
      <c r="C11" s="1013">
        <f>huishoudens!B8</f>
        <v>17948.470446558</v>
      </c>
      <c r="D11" s="1013">
        <f>huishoudens!C8</f>
        <v>0</v>
      </c>
      <c r="E11" s="1013">
        <f>huishoudens!D8</f>
        <v>41289.515974642934</v>
      </c>
      <c r="F11" s="1013">
        <f>huishoudens!E8</f>
        <v>6183.3990360744556</v>
      </c>
      <c r="G11" s="1013">
        <f>huishoudens!F8</f>
        <v>10031.711073578825</v>
      </c>
      <c r="H11" s="1013">
        <f>huishoudens!G8</f>
        <v>0</v>
      </c>
      <c r="I11" s="1013">
        <f>huishoudens!H8</f>
        <v>0</v>
      </c>
      <c r="J11" s="1013">
        <f>huishoudens!I8</f>
        <v>0</v>
      </c>
      <c r="K11" s="1013">
        <f>huishoudens!J8</f>
        <v>1357.5225882503801</v>
      </c>
      <c r="L11" s="1013">
        <f>huishoudens!K8</f>
        <v>0</v>
      </c>
      <c r="M11" s="1013">
        <f>huishoudens!L8</f>
        <v>0</v>
      </c>
      <c r="N11" s="1013">
        <f>huishoudens!M8</f>
        <v>0</v>
      </c>
      <c r="O11" s="1013">
        <f>huishoudens!N8</f>
        <v>17940.261608981182</v>
      </c>
      <c r="P11" s="1013">
        <f>huishoudens!O8</f>
        <v>312.66666666666669</v>
      </c>
      <c r="Q11" s="1014">
        <f>huishoudens!P8</f>
        <v>648.26666666666665</v>
      </c>
      <c r="R11" s="700">
        <f>SUM(C11:Q11)</f>
        <v>95711.814061419122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21621.270970802343</v>
      </c>
      <c r="D13" s="1013">
        <f>industrie!C18</f>
        <v>0</v>
      </c>
      <c r="E13" s="1013">
        <f>industrie!D18</f>
        <v>18564.201337093713</v>
      </c>
      <c r="F13" s="1013">
        <f>industrie!E18</f>
        <v>1570.2900742978272</v>
      </c>
      <c r="G13" s="1013">
        <f>industrie!F18</f>
        <v>5275.5845574116993</v>
      </c>
      <c r="H13" s="1013">
        <f>industrie!G18</f>
        <v>0</v>
      </c>
      <c r="I13" s="1013">
        <f>industrie!H18</f>
        <v>0</v>
      </c>
      <c r="J13" s="1013">
        <f>industrie!I18</f>
        <v>0</v>
      </c>
      <c r="K13" s="1013">
        <f>industrie!J18</f>
        <v>62.562943241532388</v>
      </c>
      <c r="L13" s="1013">
        <f>industrie!K18</f>
        <v>0</v>
      </c>
      <c r="M13" s="1013">
        <f>industrie!L18</f>
        <v>0</v>
      </c>
      <c r="N13" s="1013">
        <f>industrie!M18</f>
        <v>0</v>
      </c>
      <c r="O13" s="1013">
        <f>industrie!N18</f>
        <v>4764.802574933854</v>
      </c>
      <c r="P13" s="1013">
        <f>industrie!O18</f>
        <v>0</v>
      </c>
      <c r="Q13" s="1014">
        <f>industrie!P18</f>
        <v>0</v>
      </c>
      <c r="R13" s="700">
        <f>SUM(C13:Q13)</f>
        <v>51858.712457780959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61536.170993264139</v>
      </c>
      <c r="D16" s="732">
        <f t="shared" ref="D16:R16" ca="1" si="0">SUM(D9:D15)</f>
        <v>9552.8571428571431</v>
      </c>
      <c r="E16" s="732">
        <f t="shared" ca="1" si="0"/>
        <v>73985.33486984919</v>
      </c>
      <c r="F16" s="732">
        <f t="shared" si="0"/>
        <v>7972.2235757154049</v>
      </c>
      <c r="G16" s="732">
        <f t="shared" ca="1" si="0"/>
        <v>17834.807387390778</v>
      </c>
      <c r="H16" s="732">
        <f t="shared" si="0"/>
        <v>0</v>
      </c>
      <c r="I16" s="732">
        <f t="shared" si="0"/>
        <v>0</v>
      </c>
      <c r="J16" s="732">
        <f t="shared" si="0"/>
        <v>0</v>
      </c>
      <c r="K16" s="732">
        <f t="shared" si="0"/>
        <v>1420.1253278803856</v>
      </c>
      <c r="L16" s="732">
        <f t="shared" si="0"/>
        <v>0</v>
      </c>
      <c r="M16" s="732">
        <f t="shared" ca="1" si="0"/>
        <v>0</v>
      </c>
      <c r="N16" s="732">
        <f t="shared" si="0"/>
        <v>0</v>
      </c>
      <c r="O16" s="732">
        <f t="shared" ca="1" si="0"/>
        <v>22705.064183915034</v>
      </c>
      <c r="P16" s="732">
        <f t="shared" si="0"/>
        <v>318.92</v>
      </c>
      <c r="Q16" s="732">
        <f t="shared" si="0"/>
        <v>686.4</v>
      </c>
      <c r="R16" s="732">
        <f t="shared" ca="1" si="0"/>
        <v>196011.90348087208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1178.463693303014</v>
      </c>
      <c r="I19" s="1013">
        <f>transport!H54</f>
        <v>0</v>
      </c>
      <c r="J19" s="1013">
        <f>transport!I54</f>
        <v>0</v>
      </c>
      <c r="K19" s="1013">
        <f>transport!J54</f>
        <v>0</v>
      </c>
      <c r="L19" s="1013">
        <f>transport!K54</f>
        <v>0</v>
      </c>
      <c r="M19" s="1013">
        <f>transport!L54</f>
        <v>0</v>
      </c>
      <c r="N19" s="1013">
        <f>transport!M54</f>
        <v>66.931535361620675</v>
      </c>
      <c r="O19" s="1013">
        <f>transport!N54</f>
        <v>0</v>
      </c>
      <c r="P19" s="1013">
        <f>transport!O54</f>
        <v>0</v>
      </c>
      <c r="Q19" s="1014">
        <f>transport!P54</f>
        <v>0</v>
      </c>
      <c r="R19" s="700">
        <f>SUM(C19:Q19)</f>
        <v>1245.3952286646347</v>
      </c>
      <c r="S19" s="67"/>
    </row>
    <row r="20" spans="1:19" s="473" customFormat="1">
      <c r="A20" s="809" t="s">
        <v>307</v>
      </c>
      <c r="B20" s="814"/>
      <c r="C20" s="1013">
        <f>transport!B14</f>
        <v>14.494672456332662</v>
      </c>
      <c r="D20" s="1013">
        <f>transport!C14</f>
        <v>0</v>
      </c>
      <c r="E20" s="1013">
        <f>transport!D14</f>
        <v>69.640513388341233</v>
      </c>
      <c r="F20" s="1013">
        <f>transport!E14</f>
        <v>89.1032407229048</v>
      </c>
      <c r="G20" s="1013">
        <f>transport!F14</f>
        <v>0</v>
      </c>
      <c r="H20" s="1013">
        <f>transport!G14</f>
        <v>28062.83624952006</v>
      </c>
      <c r="I20" s="1013">
        <f>transport!H14</f>
        <v>7730.7385719027006</v>
      </c>
      <c r="J20" s="1013">
        <f>transport!I14</f>
        <v>0</v>
      </c>
      <c r="K20" s="1013">
        <f>transport!J14</f>
        <v>0</v>
      </c>
      <c r="L20" s="1013">
        <f>transport!K14</f>
        <v>0</v>
      </c>
      <c r="M20" s="1013">
        <f>transport!L14</f>
        <v>0</v>
      </c>
      <c r="N20" s="1013">
        <f>transport!M14</f>
        <v>1867.6254891265335</v>
      </c>
      <c r="O20" s="1013">
        <f>transport!N14</f>
        <v>0</v>
      </c>
      <c r="P20" s="1013">
        <f>transport!O14</f>
        <v>0</v>
      </c>
      <c r="Q20" s="1014">
        <f>transport!P14</f>
        <v>0</v>
      </c>
      <c r="R20" s="700">
        <f>SUM(C20:Q20)</f>
        <v>37834.438737116878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14.494672456332662</v>
      </c>
      <c r="D22" s="812">
        <f t="shared" ref="D22:R22" si="1">SUM(D18:D21)</f>
        <v>0</v>
      </c>
      <c r="E22" s="812">
        <f t="shared" si="1"/>
        <v>69.640513388341233</v>
      </c>
      <c r="F22" s="812">
        <f t="shared" si="1"/>
        <v>89.1032407229048</v>
      </c>
      <c r="G22" s="812">
        <f t="shared" si="1"/>
        <v>0</v>
      </c>
      <c r="H22" s="812">
        <f t="shared" si="1"/>
        <v>29241.299942823072</v>
      </c>
      <c r="I22" s="812">
        <f t="shared" si="1"/>
        <v>7730.7385719027006</v>
      </c>
      <c r="J22" s="812">
        <f t="shared" si="1"/>
        <v>0</v>
      </c>
      <c r="K22" s="812">
        <f t="shared" si="1"/>
        <v>0</v>
      </c>
      <c r="L22" s="812">
        <f t="shared" si="1"/>
        <v>0</v>
      </c>
      <c r="M22" s="812">
        <f t="shared" si="1"/>
        <v>0</v>
      </c>
      <c r="N22" s="812">
        <f t="shared" si="1"/>
        <v>1934.5570244881542</v>
      </c>
      <c r="O22" s="812">
        <f t="shared" si="1"/>
        <v>0</v>
      </c>
      <c r="P22" s="812">
        <f t="shared" si="1"/>
        <v>0</v>
      </c>
      <c r="Q22" s="812">
        <f t="shared" si="1"/>
        <v>0</v>
      </c>
      <c r="R22" s="812">
        <f t="shared" si="1"/>
        <v>39079.833965781516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2179.0610796611204</v>
      </c>
      <c r="D24" s="1013">
        <f>+landbouw!C8</f>
        <v>0</v>
      </c>
      <c r="E24" s="1013">
        <f>+landbouw!D8</f>
        <v>218.29787345378659</v>
      </c>
      <c r="F24" s="1013">
        <f>+landbouw!E8</f>
        <v>64.049260751979332</v>
      </c>
      <c r="G24" s="1013">
        <f>+landbouw!F8</f>
        <v>9077.8507075879206</v>
      </c>
      <c r="H24" s="1013">
        <f>+landbouw!G8</f>
        <v>0</v>
      </c>
      <c r="I24" s="1013">
        <f>+landbouw!H8</f>
        <v>0</v>
      </c>
      <c r="J24" s="1013">
        <f>+landbouw!I8</f>
        <v>0</v>
      </c>
      <c r="K24" s="1013">
        <f>+landbouw!J8</f>
        <v>315.6991545705435</v>
      </c>
      <c r="L24" s="1013">
        <f>+landbouw!K8</f>
        <v>0</v>
      </c>
      <c r="M24" s="1013">
        <f>+landbouw!L8</f>
        <v>0</v>
      </c>
      <c r="N24" s="1013">
        <f>+landbouw!M8</f>
        <v>0</v>
      </c>
      <c r="O24" s="1013">
        <f>+landbouw!N8</f>
        <v>0</v>
      </c>
      <c r="P24" s="1013">
        <f>+landbouw!O8</f>
        <v>0</v>
      </c>
      <c r="Q24" s="1014">
        <f>+landbouw!P8</f>
        <v>0</v>
      </c>
      <c r="R24" s="700">
        <f>SUM(C24:Q24)</f>
        <v>11854.95807602535</v>
      </c>
      <c r="S24" s="67"/>
    </row>
    <row r="25" spans="1:19" s="473" customFormat="1" ht="15" thickBot="1">
      <c r="A25" s="831" t="s">
        <v>836</v>
      </c>
      <c r="B25" s="1016"/>
      <c r="C25" s="1017">
        <f>IF(Onbekend_ele_kWh="---",0,Onbekend_ele_kWh)/1000+IF(REST_rest_ele_kWh="---",0,REST_rest_ele_kWh)/1000</f>
        <v>655.15934323814099</v>
      </c>
      <c r="D25" s="1017"/>
      <c r="E25" s="1017">
        <f>IF(onbekend_gas_kWh="---",0,onbekend_gas_kWh)/1000+IF(REST_rest_gas_kWh="---",0,REST_rest_gas_kWh)/1000</f>
        <v>1616.11408989545</v>
      </c>
      <c r="F25" s="1017"/>
      <c r="G25" s="1017"/>
      <c r="H25" s="1017"/>
      <c r="I25" s="1017"/>
      <c r="J25" s="1017"/>
      <c r="K25" s="1017"/>
      <c r="L25" s="1017"/>
      <c r="M25" s="1017"/>
      <c r="N25" s="1017"/>
      <c r="O25" s="1017"/>
      <c r="P25" s="1017"/>
      <c r="Q25" s="1018"/>
      <c r="R25" s="700">
        <f>SUM(C25:Q25)</f>
        <v>2271.273433133591</v>
      </c>
      <c r="S25" s="67"/>
    </row>
    <row r="26" spans="1:19" s="473" customFormat="1" ht="15.75" thickBot="1">
      <c r="A26" s="705" t="s">
        <v>837</v>
      </c>
      <c r="B26" s="817"/>
      <c r="C26" s="812">
        <f>SUM(C24:C25)</f>
        <v>2834.2204228992614</v>
      </c>
      <c r="D26" s="812">
        <f t="shared" ref="D26:R26" si="2">SUM(D24:D25)</f>
        <v>0</v>
      </c>
      <c r="E26" s="812">
        <f t="shared" si="2"/>
        <v>1834.4119633492367</v>
      </c>
      <c r="F26" s="812">
        <f t="shared" si="2"/>
        <v>64.049260751979332</v>
      </c>
      <c r="G26" s="812">
        <f t="shared" si="2"/>
        <v>9077.8507075879206</v>
      </c>
      <c r="H26" s="812">
        <f t="shared" si="2"/>
        <v>0</v>
      </c>
      <c r="I26" s="812">
        <f t="shared" si="2"/>
        <v>0</v>
      </c>
      <c r="J26" s="812">
        <f t="shared" si="2"/>
        <v>0</v>
      </c>
      <c r="K26" s="812">
        <f t="shared" si="2"/>
        <v>315.6991545705435</v>
      </c>
      <c r="L26" s="812">
        <f t="shared" si="2"/>
        <v>0</v>
      </c>
      <c r="M26" s="812">
        <f t="shared" si="2"/>
        <v>0</v>
      </c>
      <c r="N26" s="812">
        <f t="shared" si="2"/>
        <v>0</v>
      </c>
      <c r="O26" s="812">
        <f t="shared" si="2"/>
        <v>0</v>
      </c>
      <c r="P26" s="812">
        <f t="shared" si="2"/>
        <v>0</v>
      </c>
      <c r="Q26" s="812">
        <f t="shared" si="2"/>
        <v>0</v>
      </c>
      <c r="R26" s="812">
        <f t="shared" si="2"/>
        <v>14126.231509158941</v>
      </c>
      <c r="S26" s="67"/>
    </row>
    <row r="27" spans="1:19" s="473" customFormat="1" ht="17.25" thickTop="1" thickBot="1">
      <c r="A27" s="706" t="s">
        <v>116</v>
      </c>
      <c r="B27" s="805"/>
      <c r="C27" s="707">
        <f ca="1">C22+C16+C26</f>
        <v>64384.886088619736</v>
      </c>
      <c r="D27" s="707">
        <f t="shared" ref="D27:R27" ca="1" si="3">D22+D16+D26</f>
        <v>9552.8571428571431</v>
      </c>
      <c r="E27" s="707">
        <f t="shared" ca="1" si="3"/>
        <v>75889.387346586765</v>
      </c>
      <c r="F27" s="707">
        <f t="shared" si="3"/>
        <v>8125.3760771902889</v>
      </c>
      <c r="G27" s="707">
        <f t="shared" ca="1" si="3"/>
        <v>26912.658094978699</v>
      </c>
      <c r="H27" s="707">
        <f t="shared" si="3"/>
        <v>29241.299942823072</v>
      </c>
      <c r="I27" s="707">
        <f t="shared" si="3"/>
        <v>7730.7385719027006</v>
      </c>
      <c r="J27" s="707">
        <f t="shared" si="3"/>
        <v>0</v>
      </c>
      <c r="K27" s="707">
        <f t="shared" si="3"/>
        <v>1735.8244824509291</v>
      </c>
      <c r="L27" s="707">
        <f t="shared" si="3"/>
        <v>0</v>
      </c>
      <c r="M27" s="707">
        <f t="shared" ca="1" si="3"/>
        <v>0</v>
      </c>
      <c r="N27" s="707">
        <f t="shared" si="3"/>
        <v>1934.5570244881542</v>
      </c>
      <c r="O27" s="707">
        <f t="shared" ca="1" si="3"/>
        <v>22705.064183915034</v>
      </c>
      <c r="P27" s="707">
        <f t="shared" si="3"/>
        <v>318.92</v>
      </c>
      <c r="Q27" s="707">
        <f t="shared" si="3"/>
        <v>686.4</v>
      </c>
      <c r="R27" s="707">
        <f t="shared" ca="1" si="3"/>
        <v>249217.96895581254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3997.5061802775222</v>
      </c>
      <c r="D40" s="1013">
        <f ca="1">tertiair!C20</f>
        <v>0</v>
      </c>
      <c r="E40" s="1013">
        <f ca="1">tertiair!D20</f>
        <v>2854.5867467387338</v>
      </c>
      <c r="F40" s="1013">
        <f>tertiair!E20</f>
        <v>49.607323632888686</v>
      </c>
      <c r="G40" s="1013">
        <f ca="1">tertiair!F20</f>
        <v>674.84563895886708</v>
      </c>
      <c r="H40" s="1013">
        <f>tertiair!G20</f>
        <v>0</v>
      </c>
      <c r="I40" s="1013">
        <f>tertiair!H20</f>
        <v>0</v>
      </c>
      <c r="J40" s="1013">
        <f>tertiair!I20</f>
        <v>0</v>
      </c>
      <c r="K40" s="1013">
        <f>tertiair!J20</f>
        <v>1.4087921519497676E-2</v>
      </c>
      <c r="L40" s="1013">
        <f>tertiair!K20</f>
        <v>0</v>
      </c>
      <c r="M40" s="1013">
        <f ca="1">tertiair!L20</f>
        <v>0</v>
      </c>
      <c r="N40" s="1013">
        <f>tertiair!M20</f>
        <v>0</v>
      </c>
      <c r="O40" s="1013">
        <f ca="1">tertiair!N20</f>
        <v>0</v>
      </c>
      <c r="P40" s="1013">
        <f>tertiair!O20</f>
        <v>0</v>
      </c>
      <c r="Q40" s="774">
        <f>tertiair!P20</f>
        <v>0</v>
      </c>
      <c r="R40" s="850">
        <f t="shared" ca="1" si="4"/>
        <v>7576.5599775295314</v>
      </c>
    </row>
    <row r="41" spans="1:18">
      <c r="A41" s="822" t="s">
        <v>225</v>
      </c>
      <c r="B41" s="829"/>
      <c r="C41" s="1013">
        <f ca="1">huishoudens!B12</f>
        <v>3266.3078580303145</v>
      </c>
      <c r="D41" s="1013">
        <f ca="1">huishoudens!C12</f>
        <v>0</v>
      </c>
      <c r="E41" s="1013">
        <f>huishoudens!D12</f>
        <v>8340.4822268778735</v>
      </c>
      <c r="F41" s="1013">
        <f>huishoudens!E12</f>
        <v>1403.6315811889015</v>
      </c>
      <c r="G41" s="1013">
        <f>huishoudens!F12</f>
        <v>2678.4668566455462</v>
      </c>
      <c r="H41" s="1013">
        <f>huishoudens!G12</f>
        <v>0</v>
      </c>
      <c r="I41" s="1013">
        <f>huishoudens!H12</f>
        <v>0</v>
      </c>
      <c r="J41" s="1013">
        <f>huishoudens!I12</f>
        <v>0</v>
      </c>
      <c r="K41" s="1013">
        <f>huishoudens!J12</f>
        <v>480.5629962406345</v>
      </c>
      <c r="L41" s="1013">
        <f>huishoudens!K12</f>
        <v>0</v>
      </c>
      <c r="M41" s="1013">
        <f>huishoudens!L12</f>
        <v>0</v>
      </c>
      <c r="N41" s="1013">
        <f>huishoudens!M12</f>
        <v>0</v>
      </c>
      <c r="O41" s="1013">
        <f>huishoudens!N12</f>
        <v>0</v>
      </c>
      <c r="P41" s="1013">
        <f>huishoudens!O12</f>
        <v>0</v>
      </c>
      <c r="Q41" s="774">
        <f>huishoudens!P12</f>
        <v>0</v>
      </c>
      <c r="R41" s="850">
        <f t="shared" ca="1" si="4"/>
        <v>16169.451518983271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3934.6933479826207</v>
      </c>
      <c r="D43" s="1013">
        <f ca="1">industrie!C22</f>
        <v>0</v>
      </c>
      <c r="E43" s="1013">
        <f>industrie!D22</f>
        <v>3749.9686700929301</v>
      </c>
      <c r="F43" s="1013">
        <f>industrie!E22</f>
        <v>356.45584686560682</v>
      </c>
      <c r="G43" s="1013">
        <f>industrie!F22</f>
        <v>1408.5810768289239</v>
      </c>
      <c r="H43" s="1013">
        <f>industrie!G22</f>
        <v>0</v>
      </c>
      <c r="I43" s="1013">
        <f>industrie!H22</f>
        <v>0</v>
      </c>
      <c r="J43" s="1013">
        <f>industrie!I22</f>
        <v>0</v>
      </c>
      <c r="K43" s="1013">
        <f>industrie!J22</f>
        <v>22.147281907502464</v>
      </c>
      <c r="L43" s="1013">
        <f>industrie!K22</f>
        <v>0</v>
      </c>
      <c r="M43" s="1013">
        <f>industrie!L22</f>
        <v>0</v>
      </c>
      <c r="N43" s="1013">
        <f>industrie!M22</f>
        <v>0</v>
      </c>
      <c r="O43" s="1013">
        <f>industrie!N22</f>
        <v>0</v>
      </c>
      <c r="P43" s="1013">
        <f>industrie!O22</f>
        <v>0</v>
      </c>
      <c r="Q43" s="774">
        <f>industrie!P22</f>
        <v>0</v>
      </c>
      <c r="R43" s="849">
        <f t="shared" ca="1" si="4"/>
        <v>9471.8462236775849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11198.507386290457</v>
      </c>
      <c r="D46" s="732">
        <f t="shared" ref="D46:Q46" ca="1" si="5">SUM(D39:D45)</f>
        <v>0</v>
      </c>
      <c r="E46" s="732">
        <f t="shared" ca="1" si="5"/>
        <v>14945.037643709538</v>
      </c>
      <c r="F46" s="732">
        <f t="shared" si="5"/>
        <v>1809.694751687397</v>
      </c>
      <c r="G46" s="732">
        <f t="shared" ca="1" si="5"/>
        <v>4761.8935724333369</v>
      </c>
      <c r="H46" s="732">
        <f t="shared" si="5"/>
        <v>0</v>
      </c>
      <c r="I46" s="732">
        <f t="shared" si="5"/>
        <v>0</v>
      </c>
      <c r="J46" s="732">
        <f t="shared" si="5"/>
        <v>0</v>
      </c>
      <c r="K46" s="732">
        <f t="shared" si="5"/>
        <v>502.72436606965647</v>
      </c>
      <c r="L46" s="732">
        <f t="shared" si="5"/>
        <v>0</v>
      </c>
      <c r="M46" s="732">
        <f t="shared" ca="1" si="5"/>
        <v>0</v>
      </c>
      <c r="N46" s="732">
        <f t="shared" si="5"/>
        <v>0</v>
      </c>
      <c r="O46" s="732">
        <f t="shared" ca="1" si="5"/>
        <v>0</v>
      </c>
      <c r="P46" s="732">
        <f t="shared" si="5"/>
        <v>0</v>
      </c>
      <c r="Q46" s="732">
        <f t="shared" si="5"/>
        <v>0</v>
      </c>
      <c r="R46" s="732">
        <f ca="1">SUM(R39:R45)</f>
        <v>33217.857720190383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314.64980611190475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314.64980611190475</v>
      </c>
    </row>
    <row r="50" spans="1:18">
      <c r="A50" s="825" t="s">
        <v>307</v>
      </c>
      <c r="B50" s="835"/>
      <c r="C50" s="703">
        <f ca="1">transport!B18</f>
        <v>2.6377770008125769</v>
      </c>
      <c r="D50" s="703">
        <f>transport!C18</f>
        <v>0</v>
      </c>
      <c r="E50" s="703">
        <f>transport!D18</f>
        <v>14.06738370444493</v>
      </c>
      <c r="F50" s="703">
        <f>transport!E18</f>
        <v>20.226435644099389</v>
      </c>
      <c r="G50" s="703">
        <f>transport!F18</f>
        <v>0</v>
      </c>
      <c r="H50" s="703">
        <f>transport!G18</f>
        <v>7492.7772786218566</v>
      </c>
      <c r="I50" s="703">
        <f>transport!H18</f>
        <v>1924.9539044037724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9454.6627793749867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2.6377770008125769</v>
      </c>
      <c r="D52" s="732">
        <f t="shared" ref="D52:Q52" ca="1" si="6">SUM(D48:D51)</f>
        <v>0</v>
      </c>
      <c r="E52" s="732">
        <f t="shared" si="6"/>
        <v>14.06738370444493</v>
      </c>
      <c r="F52" s="732">
        <f t="shared" si="6"/>
        <v>20.226435644099389</v>
      </c>
      <c r="G52" s="732">
        <f t="shared" si="6"/>
        <v>0</v>
      </c>
      <c r="H52" s="732">
        <f t="shared" si="6"/>
        <v>7807.4270847337611</v>
      </c>
      <c r="I52" s="732">
        <f t="shared" si="6"/>
        <v>1924.9539044037724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9769.3125854868922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396.55102359934341</v>
      </c>
      <c r="D54" s="703">
        <f ca="1">+landbouw!C12</f>
        <v>0</v>
      </c>
      <c r="E54" s="703">
        <f>+landbouw!D12</f>
        <v>44.096170437664895</v>
      </c>
      <c r="F54" s="703">
        <f>+landbouw!E12</f>
        <v>14.539182190699309</v>
      </c>
      <c r="G54" s="703">
        <f>+landbouw!F12</f>
        <v>2423.7861389259751</v>
      </c>
      <c r="H54" s="703">
        <f>+landbouw!G12</f>
        <v>0</v>
      </c>
      <c r="I54" s="703">
        <f>+landbouw!H12</f>
        <v>0</v>
      </c>
      <c r="J54" s="703">
        <f>+landbouw!I12</f>
        <v>0</v>
      </c>
      <c r="K54" s="703">
        <f>+landbouw!J12</f>
        <v>111.75750071797239</v>
      </c>
      <c r="L54" s="703">
        <f>+landbouw!K12</f>
        <v>0</v>
      </c>
      <c r="M54" s="703">
        <f>+landbouw!L12</f>
        <v>0</v>
      </c>
      <c r="N54" s="703">
        <f>+landbouw!M12</f>
        <v>0</v>
      </c>
      <c r="O54" s="703">
        <f>+landbouw!N12</f>
        <v>0</v>
      </c>
      <c r="P54" s="703">
        <f>+landbouw!O12</f>
        <v>0</v>
      </c>
      <c r="Q54" s="704">
        <f>+landbouw!P12</f>
        <v>0</v>
      </c>
      <c r="R54" s="731">
        <f ca="1">SUM(C54:Q54)</f>
        <v>2990.7300158716553</v>
      </c>
    </row>
    <row r="55" spans="1:18" ht="15" thickBot="1">
      <c r="A55" s="825" t="s">
        <v>836</v>
      </c>
      <c r="B55" s="835"/>
      <c r="C55" s="703">
        <f ca="1">C25*'EF ele_warmte'!B12</f>
        <v>119.2275474087042</v>
      </c>
      <c r="D55" s="703"/>
      <c r="E55" s="703">
        <f>E25*EF_CO2_aardgas</f>
        <v>326.45504615888092</v>
      </c>
      <c r="F55" s="703"/>
      <c r="G55" s="703"/>
      <c r="H55" s="703"/>
      <c r="I55" s="703"/>
      <c r="J55" s="703"/>
      <c r="K55" s="703"/>
      <c r="L55" s="703"/>
      <c r="M55" s="703"/>
      <c r="N55" s="703"/>
      <c r="O55" s="703"/>
      <c r="P55" s="703"/>
      <c r="Q55" s="704"/>
      <c r="R55" s="731">
        <f ca="1">SUM(C55:Q55)</f>
        <v>445.68259356758512</v>
      </c>
    </row>
    <row r="56" spans="1:18" ht="15.75" thickBot="1">
      <c r="A56" s="823" t="s">
        <v>837</v>
      </c>
      <c r="B56" s="836"/>
      <c r="C56" s="732">
        <f ca="1">SUM(C54:C55)</f>
        <v>515.77857100804761</v>
      </c>
      <c r="D56" s="732">
        <f t="shared" ref="D56:Q56" ca="1" si="7">SUM(D54:D55)</f>
        <v>0</v>
      </c>
      <c r="E56" s="732">
        <f t="shared" si="7"/>
        <v>370.55121659654583</v>
      </c>
      <c r="F56" s="732">
        <f t="shared" si="7"/>
        <v>14.539182190699309</v>
      </c>
      <c r="G56" s="732">
        <f t="shared" si="7"/>
        <v>2423.7861389259751</v>
      </c>
      <c r="H56" s="732">
        <f t="shared" si="7"/>
        <v>0</v>
      </c>
      <c r="I56" s="732">
        <f t="shared" si="7"/>
        <v>0</v>
      </c>
      <c r="J56" s="732">
        <f t="shared" si="7"/>
        <v>0</v>
      </c>
      <c r="K56" s="732">
        <f t="shared" si="7"/>
        <v>111.75750071797239</v>
      </c>
      <c r="L56" s="732">
        <f t="shared" si="7"/>
        <v>0</v>
      </c>
      <c r="M56" s="732">
        <f t="shared" si="7"/>
        <v>0</v>
      </c>
      <c r="N56" s="732">
        <f t="shared" si="7"/>
        <v>0</v>
      </c>
      <c r="O56" s="732">
        <f t="shared" si="7"/>
        <v>0</v>
      </c>
      <c r="P56" s="732">
        <f t="shared" si="7"/>
        <v>0</v>
      </c>
      <c r="Q56" s="733">
        <f t="shared" si="7"/>
        <v>0</v>
      </c>
      <c r="R56" s="734">
        <f ca="1">SUM(R54:R55)</f>
        <v>3436.4126094392404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11716.923734299318</v>
      </c>
      <c r="D61" s="740">
        <f t="shared" ref="D61:Q61" ca="1" si="8">D46+D52+D56</f>
        <v>0</v>
      </c>
      <c r="E61" s="740">
        <f t="shared" ca="1" si="8"/>
        <v>15329.65624401053</v>
      </c>
      <c r="F61" s="740">
        <f t="shared" si="8"/>
        <v>1844.4603695221958</v>
      </c>
      <c r="G61" s="740">
        <f t="shared" ca="1" si="8"/>
        <v>7185.679711359312</v>
      </c>
      <c r="H61" s="740">
        <f t="shared" si="8"/>
        <v>7807.4270847337611</v>
      </c>
      <c r="I61" s="740">
        <f t="shared" si="8"/>
        <v>1924.9539044037724</v>
      </c>
      <c r="J61" s="740">
        <f t="shared" si="8"/>
        <v>0</v>
      </c>
      <c r="K61" s="740">
        <f t="shared" si="8"/>
        <v>614.48186678762886</v>
      </c>
      <c r="L61" s="740">
        <f t="shared" si="8"/>
        <v>0</v>
      </c>
      <c r="M61" s="740">
        <f t="shared" ca="1" si="8"/>
        <v>0</v>
      </c>
      <c r="N61" s="740">
        <f t="shared" si="8"/>
        <v>0</v>
      </c>
      <c r="O61" s="740">
        <f t="shared" ca="1" si="8"/>
        <v>0</v>
      </c>
      <c r="P61" s="740">
        <f t="shared" si="8"/>
        <v>0</v>
      </c>
      <c r="Q61" s="740">
        <f t="shared" si="8"/>
        <v>0</v>
      </c>
      <c r="R61" s="740">
        <f ca="1">R46+R52+R56</f>
        <v>46423.582915116516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0.18198251866396215</v>
      </c>
      <c r="D63" s="781">
        <f t="shared" ca="1" si="9"/>
        <v>0</v>
      </c>
      <c r="E63" s="1024">
        <f t="shared" ca="1" si="9"/>
        <v>0.20200000000000004</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4680.1316347766606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6687</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7867.0588235294117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11367.131634776661</v>
      </c>
      <c r="C78" s="755">
        <f>SUM(C72:C77)</f>
        <v>0</v>
      </c>
      <c r="D78" s="756">
        <f t="shared" ref="D78:H78" si="10">SUM(D76:D77)</f>
        <v>0</v>
      </c>
      <c r="E78" s="756">
        <f t="shared" si="10"/>
        <v>0</v>
      </c>
      <c r="F78" s="756">
        <f t="shared" si="10"/>
        <v>0</v>
      </c>
      <c r="G78" s="756">
        <f t="shared" si="10"/>
        <v>0</v>
      </c>
      <c r="H78" s="756">
        <f t="shared" si="10"/>
        <v>0</v>
      </c>
      <c r="I78" s="756">
        <f>SUM(I76:I77)</f>
        <v>0</v>
      </c>
      <c r="J78" s="756">
        <f>SUM(J76:J77)</f>
        <v>7867.0588235294117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9552.8571428571431</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11238.655462184875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9552.8571428571431</v>
      </c>
      <c r="C90" s="755">
        <f>SUM(C87:C89)</f>
        <v>0</v>
      </c>
      <c r="D90" s="755">
        <f t="shared" ref="D90:H90" si="12">SUM(D87:D89)</f>
        <v>0</v>
      </c>
      <c r="E90" s="755">
        <f t="shared" si="12"/>
        <v>0</v>
      </c>
      <c r="F90" s="755">
        <f t="shared" si="12"/>
        <v>0</v>
      </c>
      <c r="G90" s="755">
        <f t="shared" si="12"/>
        <v>0</v>
      </c>
      <c r="H90" s="755">
        <f t="shared" si="12"/>
        <v>0</v>
      </c>
      <c r="I90" s="755">
        <f>SUM(I87:I89)</f>
        <v>0</v>
      </c>
      <c r="J90" s="755">
        <f>SUM(J87:J89)</f>
        <v>11238.655462184875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17948.470446558</v>
      </c>
      <c r="C4" s="477">
        <f>huishoudens!C8</f>
        <v>0</v>
      </c>
      <c r="D4" s="477">
        <f>huishoudens!D8</f>
        <v>41289.515974642934</v>
      </c>
      <c r="E4" s="477">
        <f>huishoudens!E8</f>
        <v>6183.3990360744556</v>
      </c>
      <c r="F4" s="477">
        <f>huishoudens!F8</f>
        <v>10031.711073578825</v>
      </c>
      <c r="G4" s="477">
        <f>huishoudens!G8</f>
        <v>0</v>
      </c>
      <c r="H4" s="477">
        <f>huishoudens!H8</f>
        <v>0</v>
      </c>
      <c r="I4" s="477">
        <f>huishoudens!I8</f>
        <v>0</v>
      </c>
      <c r="J4" s="477">
        <f>huishoudens!J8</f>
        <v>1357.5225882503801</v>
      </c>
      <c r="K4" s="477">
        <f>huishoudens!K8</f>
        <v>0</v>
      </c>
      <c r="L4" s="477">
        <f>huishoudens!L8</f>
        <v>0</v>
      </c>
      <c r="M4" s="477">
        <f>huishoudens!M8</f>
        <v>0</v>
      </c>
      <c r="N4" s="477">
        <f>huishoudens!N8</f>
        <v>17940.261608981182</v>
      </c>
      <c r="O4" s="477">
        <f>huishoudens!O8</f>
        <v>312.66666666666669</v>
      </c>
      <c r="P4" s="478">
        <f>huishoudens!P8</f>
        <v>648.26666666666665</v>
      </c>
      <c r="Q4" s="479">
        <f>SUM(B4:P4)</f>
        <v>95711.814061419122</v>
      </c>
    </row>
    <row r="5" spans="1:17">
      <c r="A5" s="476" t="s">
        <v>156</v>
      </c>
      <c r="B5" s="477">
        <f ca="1">tertiair!B16</f>
        <v>20981.440575903791</v>
      </c>
      <c r="C5" s="477">
        <f ca="1">tertiair!C16</f>
        <v>9552.8571428571431</v>
      </c>
      <c r="D5" s="477">
        <f ca="1">tertiair!D16</f>
        <v>14131.617558112543</v>
      </c>
      <c r="E5" s="477">
        <f>tertiair!E16</f>
        <v>218.53446534312195</v>
      </c>
      <c r="F5" s="477">
        <f ca="1">tertiair!F16</f>
        <v>2527.5117564002512</v>
      </c>
      <c r="G5" s="477">
        <f>tertiair!G16</f>
        <v>0</v>
      </c>
      <c r="H5" s="477">
        <f>tertiair!H16</f>
        <v>0</v>
      </c>
      <c r="I5" s="477">
        <f>tertiair!I16</f>
        <v>0</v>
      </c>
      <c r="J5" s="477">
        <f>tertiair!J16</f>
        <v>3.9796388473157279E-2</v>
      </c>
      <c r="K5" s="477">
        <f>tertiair!K16</f>
        <v>0</v>
      </c>
      <c r="L5" s="477">
        <f ca="1">tertiair!L16</f>
        <v>0</v>
      </c>
      <c r="M5" s="477">
        <f>tertiair!M16</f>
        <v>0</v>
      </c>
      <c r="N5" s="477">
        <f ca="1">tertiair!N16</f>
        <v>0</v>
      </c>
      <c r="O5" s="477">
        <f>tertiair!O16</f>
        <v>6.2533333333333339</v>
      </c>
      <c r="P5" s="478">
        <f>tertiair!P16</f>
        <v>38.133333333333333</v>
      </c>
      <c r="Q5" s="476">
        <f t="shared" ref="Q5:Q14" ca="1" si="0">SUM(B5:P5)</f>
        <v>47456.387961671993</v>
      </c>
    </row>
    <row r="6" spans="1:17">
      <c r="A6" s="476" t="s">
        <v>194</v>
      </c>
      <c r="B6" s="477">
        <f>'openbare verlichting'!B8</f>
        <v>984.98900000000003</v>
      </c>
      <c r="C6" s="477"/>
      <c r="D6" s="477"/>
      <c r="E6" s="477"/>
      <c r="F6" s="477"/>
      <c r="G6" s="477"/>
      <c r="H6" s="477"/>
      <c r="I6" s="477"/>
      <c r="J6" s="477"/>
      <c r="K6" s="477"/>
      <c r="L6" s="477"/>
      <c r="M6" s="477"/>
      <c r="N6" s="477"/>
      <c r="O6" s="477"/>
      <c r="P6" s="478"/>
      <c r="Q6" s="476">
        <f t="shared" si="0"/>
        <v>984.98900000000003</v>
      </c>
    </row>
    <row r="7" spans="1:17">
      <c r="A7" s="476" t="s">
        <v>112</v>
      </c>
      <c r="B7" s="477">
        <f>landbouw!B8</f>
        <v>2179.0610796611204</v>
      </c>
      <c r="C7" s="477">
        <f>landbouw!C8</f>
        <v>0</v>
      </c>
      <c r="D7" s="477">
        <f>landbouw!D8</f>
        <v>218.29787345378659</v>
      </c>
      <c r="E7" s="477">
        <f>landbouw!E8</f>
        <v>64.049260751979332</v>
      </c>
      <c r="F7" s="477">
        <f>landbouw!F8</f>
        <v>9077.8507075879206</v>
      </c>
      <c r="G7" s="477">
        <f>landbouw!G8</f>
        <v>0</v>
      </c>
      <c r="H7" s="477">
        <f>landbouw!H8</f>
        <v>0</v>
      </c>
      <c r="I7" s="477">
        <f>landbouw!I8</f>
        <v>0</v>
      </c>
      <c r="J7" s="477">
        <f>landbouw!J8</f>
        <v>315.6991545705435</v>
      </c>
      <c r="K7" s="477">
        <f>landbouw!K8</f>
        <v>0</v>
      </c>
      <c r="L7" s="477">
        <f>landbouw!L8</f>
        <v>0</v>
      </c>
      <c r="M7" s="477">
        <f>landbouw!M8</f>
        <v>0</v>
      </c>
      <c r="N7" s="477">
        <f>landbouw!N8</f>
        <v>0</v>
      </c>
      <c r="O7" s="477">
        <f>landbouw!O8</f>
        <v>0</v>
      </c>
      <c r="P7" s="478">
        <f>landbouw!P8</f>
        <v>0</v>
      </c>
      <c r="Q7" s="476">
        <f t="shared" si="0"/>
        <v>11854.95807602535</v>
      </c>
    </row>
    <row r="8" spans="1:17">
      <c r="A8" s="476" t="s">
        <v>635</v>
      </c>
      <c r="B8" s="477">
        <f>industrie!B18</f>
        <v>21621.270970802343</v>
      </c>
      <c r="C8" s="477">
        <f>industrie!C18</f>
        <v>0</v>
      </c>
      <c r="D8" s="477">
        <f>industrie!D18</f>
        <v>18564.201337093713</v>
      </c>
      <c r="E8" s="477">
        <f>industrie!E18</f>
        <v>1570.2900742978272</v>
      </c>
      <c r="F8" s="477">
        <f>industrie!F18</f>
        <v>5275.5845574116993</v>
      </c>
      <c r="G8" s="477">
        <f>industrie!G18</f>
        <v>0</v>
      </c>
      <c r="H8" s="477">
        <f>industrie!H18</f>
        <v>0</v>
      </c>
      <c r="I8" s="477">
        <f>industrie!I18</f>
        <v>0</v>
      </c>
      <c r="J8" s="477">
        <f>industrie!J18</f>
        <v>62.562943241532388</v>
      </c>
      <c r="K8" s="477">
        <f>industrie!K18</f>
        <v>0</v>
      </c>
      <c r="L8" s="477">
        <f>industrie!L18</f>
        <v>0</v>
      </c>
      <c r="M8" s="477">
        <f>industrie!M18</f>
        <v>0</v>
      </c>
      <c r="N8" s="477">
        <f>industrie!N18</f>
        <v>4764.802574933854</v>
      </c>
      <c r="O8" s="477">
        <f>industrie!O18</f>
        <v>0</v>
      </c>
      <c r="P8" s="478">
        <f>industrie!P18</f>
        <v>0</v>
      </c>
      <c r="Q8" s="476">
        <f t="shared" si="0"/>
        <v>51858.712457780959</v>
      </c>
    </row>
    <row r="9" spans="1:17" s="482" customFormat="1">
      <c r="A9" s="480" t="s">
        <v>561</v>
      </c>
      <c r="B9" s="481">
        <f>transport!B14</f>
        <v>14.494672456332662</v>
      </c>
      <c r="C9" s="481">
        <f>transport!C14</f>
        <v>0</v>
      </c>
      <c r="D9" s="481">
        <f>transport!D14</f>
        <v>69.640513388341233</v>
      </c>
      <c r="E9" s="481">
        <f>transport!E14</f>
        <v>89.1032407229048</v>
      </c>
      <c r="F9" s="481">
        <f>transport!F14</f>
        <v>0</v>
      </c>
      <c r="G9" s="481">
        <f>transport!G14</f>
        <v>28062.83624952006</v>
      </c>
      <c r="H9" s="481">
        <f>transport!H14</f>
        <v>7730.7385719027006</v>
      </c>
      <c r="I9" s="481">
        <f>transport!I14</f>
        <v>0</v>
      </c>
      <c r="J9" s="481">
        <f>transport!J14</f>
        <v>0</v>
      </c>
      <c r="K9" s="481">
        <f>transport!K14</f>
        <v>0</v>
      </c>
      <c r="L9" s="481">
        <f>transport!L14</f>
        <v>0</v>
      </c>
      <c r="M9" s="481">
        <f>transport!M14</f>
        <v>1867.6254891265335</v>
      </c>
      <c r="N9" s="481">
        <f>transport!N14</f>
        <v>0</v>
      </c>
      <c r="O9" s="481">
        <f>transport!O14</f>
        <v>0</v>
      </c>
      <c r="P9" s="481">
        <f>transport!P14</f>
        <v>0</v>
      </c>
      <c r="Q9" s="480">
        <f>SUM(B9:P9)</f>
        <v>37834.438737116878</v>
      </c>
    </row>
    <row r="10" spans="1:17">
      <c r="A10" s="476" t="s">
        <v>551</v>
      </c>
      <c r="B10" s="477">
        <f>transport!B54</f>
        <v>0</v>
      </c>
      <c r="C10" s="477">
        <f>transport!C54</f>
        <v>0</v>
      </c>
      <c r="D10" s="477">
        <f>transport!D54</f>
        <v>0</v>
      </c>
      <c r="E10" s="477">
        <f>transport!E54</f>
        <v>0</v>
      </c>
      <c r="F10" s="477">
        <f>transport!F54</f>
        <v>0</v>
      </c>
      <c r="G10" s="477">
        <f>transport!G54</f>
        <v>1178.463693303014</v>
      </c>
      <c r="H10" s="477">
        <f>transport!H54</f>
        <v>0</v>
      </c>
      <c r="I10" s="477">
        <f>transport!I54</f>
        <v>0</v>
      </c>
      <c r="J10" s="477">
        <f>transport!J54</f>
        <v>0</v>
      </c>
      <c r="K10" s="477">
        <f>transport!K54</f>
        <v>0</v>
      </c>
      <c r="L10" s="477">
        <f>transport!L54</f>
        <v>0</v>
      </c>
      <c r="M10" s="477">
        <f>transport!M54</f>
        <v>66.931535361620675</v>
      </c>
      <c r="N10" s="477">
        <f>transport!N54</f>
        <v>0</v>
      </c>
      <c r="O10" s="477">
        <f>transport!O54</f>
        <v>0</v>
      </c>
      <c r="P10" s="478">
        <f>transport!P54</f>
        <v>0</v>
      </c>
      <c r="Q10" s="476">
        <f t="shared" si="0"/>
        <v>1245.3952286646347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655.15934323814099</v>
      </c>
      <c r="C14" s="484"/>
      <c r="D14" s="484">
        <f>'SEAP template'!E25</f>
        <v>1616.11408989545</v>
      </c>
      <c r="E14" s="484"/>
      <c r="F14" s="484"/>
      <c r="G14" s="484"/>
      <c r="H14" s="484"/>
      <c r="I14" s="484"/>
      <c r="J14" s="484"/>
      <c r="K14" s="484"/>
      <c r="L14" s="484"/>
      <c r="M14" s="484"/>
      <c r="N14" s="484"/>
      <c r="O14" s="484"/>
      <c r="P14" s="485"/>
      <c r="Q14" s="476">
        <f t="shared" si="0"/>
        <v>2271.273433133591</v>
      </c>
    </row>
    <row r="15" spans="1:17" s="486" customFormat="1">
      <c r="A15" s="1039" t="s">
        <v>555</v>
      </c>
      <c r="B15" s="987">
        <f ca="1">SUM(B4:B14)</f>
        <v>64384.886088619729</v>
      </c>
      <c r="C15" s="987">
        <f t="shared" ref="C15:Q15" ca="1" si="1">SUM(C4:C14)</f>
        <v>9552.8571428571431</v>
      </c>
      <c r="D15" s="987">
        <f t="shared" ca="1" si="1"/>
        <v>75889.387346586765</v>
      </c>
      <c r="E15" s="987">
        <f t="shared" si="1"/>
        <v>8125.3760771902889</v>
      </c>
      <c r="F15" s="987">
        <f t="shared" ca="1" si="1"/>
        <v>26912.658094978695</v>
      </c>
      <c r="G15" s="987">
        <f t="shared" si="1"/>
        <v>29241.299942823072</v>
      </c>
      <c r="H15" s="987">
        <f t="shared" si="1"/>
        <v>7730.7385719027006</v>
      </c>
      <c r="I15" s="987">
        <f t="shared" si="1"/>
        <v>0</v>
      </c>
      <c r="J15" s="987">
        <f t="shared" si="1"/>
        <v>1735.8244824509291</v>
      </c>
      <c r="K15" s="987">
        <f t="shared" si="1"/>
        <v>0</v>
      </c>
      <c r="L15" s="987">
        <f t="shared" ca="1" si="1"/>
        <v>0</v>
      </c>
      <c r="M15" s="987">
        <f t="shared" si="1"/>
        <v>1934.5570244881542</v>
      </c>
      <c r="N15" s="987">
        <f t="shared" ca="1" si="1"/>
        <v>22705.064183915034</v>
      </c>
      <c r="O15" s="987">
        <f t="shared" si="1"/>
        <v>318.92</v>
      </c>
      <c r="P15" s="987">
        <f t="shared" si="1"/>
        <v>686.4</v>
      </c>
      <c r="Q15" s="987">
        <f t="shared" ca="1" si="1"/>
        <v>249217.96895581251</v>
      </c>
    </row>
    <row r="17" spans="1:17">
      <c r="A17" s="487" t="s">
        <v>556</v>
      </c>
      <c r="B17" s="786">
        <f ca="1">huishoudens!B10</f>
        <v>0.18198251866396217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3266.3078580303145</v>
      </c>
      <c r="C22" s="477">
        <f t="shared" ref="C22:C32" ca="1" si="3">C4*$C$17</f>
        <v>0</v>
      </c>
      <c r="D22" s="477">
        <f t="shared" ref="D22:D32" si="4">D4*$D$17</f>
        <v>8340.4822268778735</v>
      </c>
      <c r="E22" s="477">
        <f t="shared" ref="E22:E32" si="5">E4*$E$17</f>
        <v>1403.6315811889015</v>
      </c>
      <c r="F22" s="477">
        <f t="shared" ref="F22:F32" si="6">F4*$F$17</f>
        <v>2678.4668566455462</v>
      </c>
      <c r="G22" s="477">
        <f t="shared" ref="G22:G32" si="7">G4*$G$17</f>
        <v>0</v>
      </c>
      <c r="H22" s="477">
        <f t="shared" ref="H22:H32" si="8">H4*$H$17</f>
        <v>0</v>
      </c>
      <c r="I22" s="477">
        <f t="shared" ref="I22:I32" si="9">I4*$I$17</f>
        <v>0</v>
      </c>
      <c r="J22" s="477">
        <f t="shared" ref="J22:J32" si="10">J4*$J$17</f>
        <v>480.5629962406345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16169.451518983271</v>
      </c>
    </row>
    <row r="23" spans="1:17">
      <c r="A23" s="476" t="s">
        <v>156</v>
      </c>
      <c r="B23" s="477">
        <f t="shared" ca="1" si="2"/>
        <v>3818.2554012012247</v>
      </c>
      <c r="C23" s="477">
        <f t="shared" ca="1" si="3"/>
        <v>0</v>
      </c>
      <c r="D23" s="477">
        <f t="shared" ca="1" si="4"/>
        <v>2854.5867467387338</v>
      </c>
      <c r="E23" s="477">
        <f t="shared" si="5"/>
        <v>49.607323632888686</v>
      </c>
      <c r="F23" s="477">
        <f t="shared" ca="1" si="6"/>
        <v>674.84563895886708</v>
      </c>
      <c r="G23" s="477">
        <f t="shared" si="7"/>
        <v>0</v>
      </c>
      <c r="H23" s="477">
        <f t="shared" si="8"/>
        <v>0</v>
      </c>
      <c r="I23" s="477">
        <f t="shared" si="9"/>
        <v>0</v>
      </c>
      <c r="J23" s="477">
        <f t="shared" si="10"/>
        <v>1.4087921519497676E-2</v>
      </c>
      <c r="K23" s="477">
        <f t="shared" si="11"/>
        <v>0</v>
      </c>
      <c r="L23" s="477">
        <f t="shared" ca="1" si="12"/>
        <v>0</v>
      </c>
      <c r="M23" s="477">
        <f t="shared" si="13"/>
        <v>0</v>
      </c>
      <c r="N23" s="477">
        <f t="shared" ca="1" si="14"/>
        <v>0</v>
      </c>
      <c r="O23" s="477">
        <f t="shared" si="15"/>
        <v>0</v>
      </c>
      <c r="P23" s="478">
        <f t="shared" si="16"/>
        <v>0</v>
      </c>
      <c r="Q23" s="476">
        <f t="shared" ref="Q23:Q32" ca="1" si="17">SUM(B23:P23)</f>
        <v>7397.3091984532339</v>
      </c>
    </row>
    <row r="24" spans="1:17">
      <c r="A24" s="476" t="s">
        <v>194</v>
      </c>
      <c r="B24" s="477">
        <f t="shared" ca="1" si="2"/>
        <v>179.25077907629745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179.25077907629745</v>
      </c>
    </row>
    <row r="25" spans="1:17">
      <c r="A25" s="476" t="s">
        <v>112</v>
      </c>
      <c r="B25" s="477">
        <f t="shared" ca="1" si="2"/>
        <v>396.55102359934341</v>
      </c>
      <c r="C25" s="477">
        <f t="shared" ca="1" si="3"/>
        <v>0</v>
      </c>
      <c r="D25" s="477">
        <f t="shared" si="4"/>
        <v>44.096170437664895</v>
      </c>
      <c r="E25" s="477">
        <f t="shared" si="5"/>
        <v>14.539182190699309</v>
      </c>
      <c r="F25" s="477">
        <f t="shared" si="6"/>
        <v>2423.7861389259751</v>
      </c>
      <c r="G25" s="477">
        <f t="shared" si="7"/>
        <v>0</v>
      </c>
      <c r="H25" s="477">
        <f t="shared" si="8"/>
        <v>0</v>
      </c>
      <c r="I25" s="477">
        <f t="shared" si="9"/>
        <v>0</v>
      </c>
      <c r="J25" s="477">
        <f t="shared" si="10"/>
        <v>111.75750071797239</v>
      </c>
      <c r="K25" s="477">
        <f t="shared" si="11"/>
        <v>0</v>
      </c>
      <c r="L25" s="477">
        <f t="shared" si="12"/>
        <v>0</v>
      </c>
      <c r="M25" s="477">
        <f t="shared" si="13"/>
        <v>0</v>
      </c>
      <c r="N25" s="477">
        <f t="shared" si="14"/>
        <v>0</v>
      </c>
      <c r="O25" s="477">
        <f t="shared" si="15"/>
        <v>0</v>
      </c>
      <c r="P25" s="478">
        <f t="shared" si="16"/>
        <v>0</v>
      </c>
      <c r="Q25" s="476">
        <f t="shared" ca="1" si="17"/>
        <v>2990.7300158716553</v>
      </c>
    </row>
    <row r="26" spans="1:17">
      <c r="A26" s="476" t="s">
        <v>635</v>
      </c>
      <c r="B26" s="477">
        <f t="shared" ca="1" si="2"/>
        <v>3934.6933479826207</v>
      </c>
      <c r="C26" s="477">
        <f t="shared" ca="1" si="3"/>
        <v>0</v>
      </c>
      <c r="D26" s="477">
        <f t="shared" si="4"/>
        <v>3749.9686700929301</v>
      </c>
      <c r="E26" s="477">
        <f t="shared" si="5"/>
        <v>356.45584686560682</v>
      </c>
      <c r="F26" s="477">
        <f t="shared" si="6"/>
        <v>1408.5810768289239</v>
      </c>
      <c r="G26" s="477">
        <f t="shared" si="7"/>
        <v>0</v>
      </c>
      <c r="H26" s="477">
        <f t="shared" si="8"/>
        <v>0</v>
      </c>
      <c r="I26" s="477">
        <f t="shared" si="9"/>
        <v>0</v>
      </c>
      <c r="J26" s="477">
        <f t="shared" si="10"/>
        <v>22.147281907502464</v>
      </c>
      <c r="K26" s="477">
        <f t="shared" si="11"/>
        <v>0</v>
      </c>
      <c r="L26" s="477">
        <f t="shared" si="12"/>
        <v>0</v>
      </c>
      <c r="M26" s="477">
        <f t="shared" si="13"/>
        <v>0</v>
      </c>
      <c r="N26" s="477">
        <f t="shared" si="14"/>
        <v>0</v>
      </c>
      <c r="O26" s="477">
        <f t="shared" si="15"/>
        <v>0</v>
      </c>
      <c r="P26" s="478">
        <f t="shared" si="16"/>
        <v>0</v>
      </c>
      <c r="Q26" s="476">
        <f t="shared" ca="1" si="17"/>
        <v>9471.8462236775849</v>
      </c>
    </row>
    <row r="27" spans="1:17" s="482" customFormat="1">
      <c r="A27" s="480" t="s">
        <v>561</v>
      </c>
      <c r="B27" s="780">
        <f t="shared" ca="1" si="2"/>
        <v>2.6377770008125769</v>
      </c>
      <c r="C27" s="481">
        <f t="shared" ca="1" si="3"/>
        <v>0</v>
      </c>
      <c r="D27" s="481">
        <f t="shared" si="4"/>
        <v>14.06738370444493</v>
      </c>
      <c r="E27" s="481">
        <f t="shared" si="5"/>
        <v>20.226435644099389</v>
      </c>
      <c r="F27" s="481">
        <f t="shared" si="6"/>
        <v>0</v>
      </c>
      <c r="G27" s="481">
        <f t="shared" si="7"/>
        <v>7492.7772786218566</v>
      </c>
      <c r="H27" s="481">
        <f t="shared" si="8"/>
        <v>1924.9539044037724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9454.6627793749867</v>
      </c>
    </row>
    <row r="28" spans="1:17">
      <c r="A28" s="476" t="s">
        <v>551</v>
      </c>
      <c r="B28" s="477">
        <f t="shared" ca="1" si="2"/>
        <v>0</v>
      </c>
      <c r="C28" s="477">
        <f t="shared" ca="1" si="3"/>
        <v>0</v>
      </c>
      <c r="D28" s="477">
        <f t="shared" si="4"/>
        <v>0</v>
      </c>
      <c r="E28" s="477">
        <f t="shared" si="5"/>
        <v>0</v>
      </c>
      <c r="F28" s="477">
        <f t="shared" si="6"/>
        <v>0</v>
      </c>
      <c r="G28" s="477">
        <f t="shared" si="7"/>
        <v>314.64980611190475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314.64980611190475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119.2275474087042</v>
      </c>
      <c r="C32" s="477">
        <f t="shared" ca="1" si="3"/>
        <v>0</v>
      </c>
      <c r="D32" s="477">
        <f t="shared" si="4"/>
        <v>326.45504615888092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445.68259356758512</v>
      </c>
    </row>
    <row r="33" spans="1:17" s="486" customFormat="1">
      <c r="A33" s="1039" t="s">
        <v>555</v>
      </c>
      <c r="B33" s="987">
        <f ca="1">SUM(B22:B32)</f>
        <v>11716.923734299318</v>
      </c>
      <c r="C33" s="987">
        <f t="shared" ref="C33:Q33" ca="1" si="18">SUM(C22:C32)</f>
        <v>0</v>
      </c>
      <c r="D33" s="987">
        <f t="shared" ca="1" si="18"/>
        <v>15329.656244010528</v>
      </c>
      <c r="E33" s="987">
        <f t="shared" si="18"/>
        <v>1844.4603695221958</v>
      </c>
      <c r="F33" s="987">
        <f t="shared" ca="1" si="18"/>
        <v>7185.679711359312</v>
      </c>
      <c r="G33" s="987">
        <f t="shared" si="18"/>
        <v>7807.4270847337611</v>
      </c>
      <c r="H33" s="987">
        <f t="shared" si="18"/>
        <v>1924.9539044037724</v>
      </c>
      <c r="I33" s="987">
        <f t="shared" si="18"/>
        <v>0</v>
      </c>
      <c r="J33" s="987">
        <f t="shared" si="18"/>
        <v>614.48186678762886</v>
      </c>
      <c r="K33" s="987">
        <f t="shared" si="18"/>
        <v>0</v>
      </c>
      <c r="L33" s="987">
        <f t="shared" ca="1" si="18"/>
        <v>0</v>
      </c>
      <c r="M33" s="987">
        <f t="shared" si="18"/>
        <v>0</v>
      </c>
      <c r="N33" s="987">
        <f t="shared" ca="1" si="18"/>
        <v>0</v>
      </c>
      <c r="O33" s="987">
        <f t="shared" si="18"/>
        <v>0</v>
      </c>
      <c r="P33" s="987">
        <f t="shared" si="18"/>
        <v>0</v>
      </c>
      <c r="Q33" s="987">
        <f t="shared" ca="1" si="18"/>
        <v>46423.582915116516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4680.1316347766606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6687</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7867.0588235294117</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11367.131634776661</v>
      </c>
      <c r="C10" s="1060">
        <f>SUM(C4:C9)</f>
        <v>0</v>
      </c>
      <c r="D10" s="1060">
        <f t="shared" ref="D10:H10" si="0">SUM(D8:D9)</f>
        <v>0</v>
      </c>
      <c r="E10" s="1060">
        <f t="shared" si="0"/>
        <v>0</v>
      </c>
      <c r="F10" s="1060">
        <f t="shared" si="0"/>
        <v>0</v>
      </c>
      <c r="G10" s="1060">
        <f t="shared" si="0"/>
        <v>0</v>
      </c>
      <c r="H10" s="1060">
        <f t="shared" si="0"/>
        <v>0</v>
      </c>
      <c r="I10" s="1060">
        <f>SUM(I8:I9)</f>
        <v>0</v>
      </c>
      <c r="J10" s="1060">
        <f>SUM(J8:J9)</f>
        <v>7867.0588235294117</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0.18198251866396217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9552.8571428571431</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11238.655462184875</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9552.8571428571431</v>
      </c>
      <c r="C20" s="1060">
        <f>SUM(C17:C19)</f>
        <v>0</v>
      </c>
      <c r="D20" s="1060">
        <f t="shared" ref="D20:H20" si="2">SUM(D17:D19)</f>
        <v>0</v>
      </c>
      <c r="E20" s="1060">
        <f t="shared" si="2"/>
        <v>0</v>
      </c>
      <c r="F20" s="1060">
        <f t="shared" si="2"/>
        <v>0</v>
      </c>
      <c r="G20" s="1060">
        <f t="shared" si="2"/>
        <v>0</v>
      </c>
      <c r="H20" s="1060">
        <f t="shared" si="2"/>
        <v>0</v>
      </c>
      <c r="I20" s="1060">
        <f>SUM(I17:I19)</f>
        <v>0</v>
      </c>
      <c r="J20" s="1060">
        <f>SUM(J17:J19)</f>
        <v>11238.655462184875</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0.18198251866396217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0.18198251866396217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0.18198251866396217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4533</v>
      </c>
      <c r="C9" s="342">
        <v>4751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2521.91</v>
      </c>
    </row>
    <row r="15" spans="1:6">
      <c r="A15" s="348" t="s">
        <v>184</v>
      </c>
      <c r="B15" s="334">
        <v>23</v>
      </c>
    </row>
    <row r="16" spans="1:6">
      <c r="A16" s="348" t="s">
        <v>6</v>
      </c>
      <c r="B16" s="334">
        <v>700</v>
      </c>
    </row>
    <row r="17" spans="1:6">
      <c r="A17" s="348" t="s">
        <v>7</v>
      </c>
      <c r="B17" s="334">
        <v>581</v>
      </c>
    </row>
    <row r="18" spans="1:6">
      <c r="A18" s="348" t="s">
        <v>8</v>
      </c>
      <c r="B18" s="334">
        <v>776</v>
      </c>
    </row>
    <row r="19" spans="1:6">
      <c r="A19" s="348" t="s">
        <v>9</v>
      </c>
      <c r="B19" s="334">
        <v>984</v>
      </c>
    </row>
    <row r="20" spans="1:6">
      <c r="A20" s="348" t="s">
        <v>10</v>
      </c>
      <c r="B20" s="334">
        <v>609</v>
      </c>
    </row>
    <row r="21" spans="1:6">
      <c r="A21" s="348" t="s">
        <v>11</v>
      </c>
      <c r="B21" s="334">
        <v>8361</v>
      </c>
    </row>
    <row r="22" spans="1:6">
      <c r="A22" s="348" t="s">
        <v>12</v>
      </c>
      <c r="B22" s="334">
        <v>30052</v>
      </c>
    </row>
    <row r="23" spans="1:6">
      <c r="A23" s="348" t="s">
        <v>13</v>
      </c>
      <c r="B23" s="334">
        <v>477</v>
      </c>
    </row>
    <row r="24" spans="1:6">
      <c r="A24" s="348" t="s">
        <v>14</v>
      </c>
      <c r="B24" s="334">
        <v>15</v>
      </c>
    </row>
    <row r="25" spans="1:6">
      <c r="A25" s="348" t="s">
        <v>15</v>
      </c>
      <c r="B25" s="334">
        <v>2320</v>
      </c>
    </row>
    <row r="26" spans="1:6">
      <c r="A26" s="348" t="s">
        <v>16</v>
      </c>
      <c r="B26" s="334">
        <v>196</v>
      </c>
    </row>
    <row r="27" spans="1:6">
      <c r="A27" s="348" t="s">
        <v>17</v>
      </c>
      <c r="B27" s="334">
        <v>6</v>
      </c>
    </row>
    <row r="28" spans="1:6" s="356" customFormat="1">
      <c r="A28" s="355" t="s">
        <v>18</v>
      </c>
      <c r="B28" s="355">
        <v>122624</v>
      </c>
    </row>
    <row r="29" spans="1:6">
      <c r="A29" s="355" t="s">
        <v>744</v>
      </c>
      <c r="B29" s="355">
        <v>229</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38219.381272799503</v>
      </c>
    </row>
    <row r="37" spans="1:6">
      <c r="A37" s="348" t="s">
        <v>25</v>
      </c>
      <c r="B37" s="348" t="s">
        <v>28</v>
      </c>
      <c r="C37" s="334">
        <v>0</v>
      </c>
      <c r="D37" s="334">
        <v>0</v>
      </c>
      <c r="E37" s="334">
        <v>0</v>
      </c>
      <c r="F37" s="334">
        <v>0</v>
      </c>
    </row>
    <row r="38" spans="1:6">
      <c r="A38" s="348" t="s">
        <v>25</v>
      </c>
      <c r="B38" s="348" t="s">
        <v>29</v>
      </c>
      <c r="C38" s="334">
        <v>0</v>
      </c>
      <c r="D38" s="334">
        <v>0</v>
      </c>
      <c r="E38" s="334">
        <v>4</v>
      </c>
      <c r="F38" s="334">
        <v>102254.379041947</v>
      </c>
    </row>
    <row r="39" spans="1:6">
      <c r="A39" s="348" t="s">
        <v>30</v>
      </c>
      <c r="B39" s="348" t="s">
        <v>31</v>
      </c>
      <c r="C39" s="334">
        <v>2968</v>
      </c>
      <c r="D39" s="334">
        <v>45775516.601599701</v>
      </c>
      <c r="E39" s="334">
        <v>4192</v>
      </c>
      <c r="F39" s="334">
        <v>14549695.284833999</v>
      </c>
    </row>
    <row r="40" spans="1:6">
      <c r="A40" s="348" t="s">
        <v>30</v>
      </c>
      <c r="B40" s="348" t="s">
        <v>29</v>
      </c>
      <c r="C40" s="334">
        <v>0</v>
      </c>
      <c r="D40" s="334">
        <v>0</v>
      </c>
      <c r="E40" s="334">
        <v>0</v>
      </c>
      <c r="F40" s="334">
        <v>0</v>
      </c>
    </row>
    <row r="41" spans="1:6">
      <c r="A41" s="348" t="s">
        <v>32</v>
      </c>
      <c r="B41" s="348" t="s">
        <v>33</v>
      </c>
      <c r="C41" s="334">
        <v>78</v>
      </c>
      <c r="D41" s="334">
        <v>1386571.8091086501</v>
      </c>
      <c r="E41" s="334">
        <v>131</v>
      </c>
      <c r="F41" s="334">
        <v>2014130.0580088799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273912.59204680001</v>
      </c>
      <c r="E44" s="334">
        <v>26</v>
      </c>
      <c r="F44" s="334">
        <v>1688246.8612994901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45459.797188673001</v>
      </c>
    </row>
    <row r="48" spans="1:6">
      <c r="A48" s="348" t="s">
        <v>32</v>
      </c>
      <c r="B48" s="348" t="s">
        <v>29</v>
      </c>
      <c r="C48" s="334">
        <v>28</v>
      </c>
      <c r="D48" s="334">
        <v>18739462.115385901</v>
      </c>
      <c r="E48" s="334">
        <v>40</v>
      </c>
      <c r="F48" s="334">
        <v>17473811.377817702</v>
      </c>
    </row>
    <row r="49" spans="1:6">
      <c r="A49" s="348" t="s">
        <v>32</v>
      </c>
      <c r="B49" s="348" t="s">
        <v>40</v>
      </c>
      <c r="C49" s="334">
        <v>0</v>
      </c>
      <c r="D49" s="334">
        <v>0</v>
      </c>
      <c r="E49" s="334">
        <v>4</v>
      </c>
      <c r="F49" s="334">
        <v>299626.48216448998</v>
      </c>
    </row>
    <row r="50" spans="1:6">
      <c r="A50" s="348" t="s">
        <v>32</v>
      </c>
      <c r="B50" s="348" t="s">
        <v>41</v>
      </c>
      <c r="C50" s="334">
        <v>4</v>
      </c>
      <c r="D50" s="334">
        <v>181207.95917229701</v>
      </c>
      <c r="E50" s="334">
        <v>5</v>
      </c>
      <c r="F50" s="334">
        <v>99996.394323105502</v>
      </c>
    </row>
    <row r="51" spans="1:6">
      <c r="A51" s="348" t="s">
        <v>42</v>
      </c>
      <c r="B51" s="348" t="s">
        <v>43</v>
      </c>
      <c r="C51" s="334">
        <v>7</v>
      </c>
      <c r="D51" s="334">
        <v>159852.167874732</v>
      </c>
      <c r="E51" s="334">
        <v>133</v>
      </c>
      <c r="F51" s="334">
        <v>1989836.2506702701</v>
      </c>
    </row>
    <row r="52" spans="1:6">
      <c r="A52" s="348" t="s">
        <v>42</v>
      </c>
      <c r="B52" s="348" t="s">
        <v>29</v>
      </c>
      <c r="C52" s="334">
        <v>6</v>
      </c>
      <c r="D52" s="334">
        <v>82163.212894432698</v>
      </c>
      <c r="E52" s="334">
        <v>8</v>
      </c>
      <c r="F52" s="334">
        <v>189224.82899084999</v>
      </c>
    </row>
    <row r="53" spans="1:6">
      <c r="A53" s="348" t="s">
        <v>44</v>
      </c>
      <c r="B53" s="348" t="s">
        <v>45</v>
      </c>
      <c r="C53" s="334">
        <v>73</v>
      </c>
      <c r="D53" s="334">
        <v>1616114.08989545</v>
      </c>
      <c r="E53" s="334">
        <v>122</v>
      </c>
      <c r="F53" s="334">
        <v>655159.34323814104</v>
      </c>
    </row>
    <row r="54" spans="1:6">
      <c r="A54" s="348" t="s">
        <v>46</v>
      </c>
      <c r="B54" s="348" t="s">
        <v>47</v>
      </c>
      <c r="C54" s="334">
        <v>0</v>
      </c>
      <c r="D54" s="334">
        <v>0</v>
      </c>
      <c r="E54" s="334">
        <v>1</v>
      </c>
      <c r="F54" s="334">
        <v>984989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2019638.71065434</v>
      </c>
      <c r="E57" s="334">
        <v>70</v>
      </c>
      <c r="F57" s="334">
        <v>1113090.1578609401</v>
      </c>
    </row>
    <row r="58" spans="1:6">
      <c r="A58" s="348" t="s">
        <v>49</v>
      </c>
      <c r="B58" s="348" t="s">
        <v>51</v>
      </c>
      <c r="C58" s="334">
        <v>23</v>
      </c>
      <c r="D58" s="334">
        <v>2132031.4801770998</v>
      </c>
      <c r="E58" s="334">
        <v>26</v>
      </c>
      <c r="F58" s="334">
        <v>774184.70837544196</v>
      </c>
    </row>
    <row r="59" spans="1:6">
      <c r="A59" s="348" t="s">
        <v>49</v>
      </c>
      <c r="B59" s="348" t="s">
        <v>52</v>
      </c>
      <c r="C59" s="334">
        <v>49</v>
      </c>
      <c r="D59" s="334">
        <v>1450295.74901265</v>
      </c>
      <c r="E59" s="334">
        <v>139</v>
      </c>
      <c r="F59" s="334">
        <v>3198534.7349182498</v>
      </c>
    </row>
    <row r="60" spans="1:6">
      <c r="A60" s="348" t="s">
        <v>49</v>
      </c>
      <c r="B60" s="348" t="s">
        <v>53</v>
      </c>
      <c r="C60" s="334">
        <v>49</v>
      </c>
      <c r="D60" s="334">
        <v>2765661.9951341599</v>
      </c>
      <c r="E60" s="334">
        <v>68</v>
      </c>
      <c r="F60" s="334">
        <v>1257906.6856914901</v>
      </c>
    </row>
    <row r="61" spans="1:6">
      <c r="A61" s="348" t="s">
        <v>49</v>
      </c>
      <c r="B61" s="348" t="s">
        <v>54</v>
      </c>
      <c r="C61" s="334">
        <v>80</v>
      </c>
      <c r="D61" s="334">
        <v>1739648.87803656</v>
      </c>
      <c r="E61" s="334">
        <v>144</v>
      </c>
      <c r="F61" s="334">
        <v>1298577.07762127</v>
      </c>
    </row>
    <row r="62" spans="1:6">
      <c r="A62" s="348" t="s">
        <v>49</v>
      </c>
      <c r="B62" s="348" t="s">
        <v>55</v>
      </c>
      <c r="C62" s="334">
        <v>5</v>
      </c>
      <c r="D62" s="334">
        <v>260464.98671258599</v>
      </c>
      <c r="E62" s="334">
        <v>6</v>
      </c>
      <c r="F62" s="334">
        <v>195239.76188989801</v>
      </c>
    </row>
    <row r="63" spans="1:6">
      <c r="A63" s="348" t="s">
        <v>49</v>
      </c>
      <c r="B63" s="348" t="s">
        <v>29</v>
      </c>
      <c r="C63" s="334">
        <v>80</v>
      </c>
      <c r="D63" s="334">
        <v>5299239.9720160002</v>
      </c>
      <c r="E63" s="334">
        <v>87</v>
      </c>
      <c r="F63" s="334">
        <v>6456907.4495465001</v>
      </c>
    </row>
    <row r="64" spans="1:6">
      <c r="A64" s="348" t="s">
        <v>56</v>
      </c>
      <c r="B64" s="348" t="s">
        <v>57</v>
      </c>
      <c r="C64" s="334">
        <v>0</v>
      </c>
      <c r="D64" s="334">
        <v>0</v>
      </c>
      <c r="E64" s="334">
        <v>0</v>
      </c>
      <c r="F64" s="334">
        <v>0</v>
      </c>
    </row>
    <row r="65" spans="1:6">
      <c r="A65" s="348" t="s">
        <v>56</v>
      </c>
      <c r="B65" s="348" t="s">
        <v>29</v>
      </c>
      <c r="C65" s="334">
        <v>2</v>
      </c>
      <c r="D65" s="334">
        <v>73988.134791759599</v>
      </c>
      <c r="E65" s="334">
        <v>2</v>
      </c>
      <c r="F65" s="334">
        <v>17530.228449990002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357463.42942041199</v>
      </c>
      <c r="E68" s="334">
        <v>23</v>
      </c>
      <c r="F68" s="334">
        <v>274521.390971118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8343599</v>
      </c>
      <c r="E73" s="475">
        <v>7331429.4879234172</v>
      </c>
    </row>
    <row r="74" spans="1:6">
      <c r="A74" s="348" t="s">
        <v>64</v>
      </c>
      <c r="B74" s="348" t="s">
        <v>657</v>
      </c>
      <c r="C74" s="1295" t="s">
        <v>659</v>
      </c>
      <c r="D74" s="475">
        <v>549573</v>
      </c>
      <c r="E74" s="475">
        <v>574898.83952039108</v>
      </c>
    </row>
    <row r="75" spans="1:6">
      <c r="A75" s="348" t="s">
        <v>65</v>
      </c>
      <c r="B75" s="348" t="s">
        <v>656</v>
      </c>
      <c r="C75" s="1295" t="s">
        <v>660</v>
      </c>
      <c r="D75" s="475">
        <v>28500708</v>
      </c>
      <c r="E75" s="475">
        <v>27261487.205510322</v>
      </c>
    </row>
    <row r="76" spans="1:6">
      <c r="A76" s="348" t="s">
        <v>65</v>
      </c>
      <c r="B76" s="348" t="s">
        <v>657</v>
      </c>
      <c r="C76" s="1295" t="s">
        <v>661</v>
      </c>
      <c r="D76" s="475">
        <v>1473325</v>
      </c>
      <c r="E76" s="475">
        <v>1686733.164862527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337772</v>
      </c>
      <c r="C83" s="475">
        <v>337489.12159926997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3398.7751617239992</v>
      </c>
    </row>
    <row r="92" spans="1:6">
      <c r="A92" s="341" t="s">
        <v>69</v>
      </c>
      <c r="B92" s="342">
        <v>1281.3564730526609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64384.886088619736</v>
      </c>
      <c r="C3" s="43" t="s">
        <v>170</v>
      </c>
      <c r="D3" s="43"/>
      <c r="E3" s="154"/>
      <c r="F3" s="43"/>
      <c r="G3" s="43"/>
      <c r="H3" s="43"/>
      <c r="I3" s="43"/>
      <c r="J3" s="43"/>
      <c r="K3" s="96"/>
    </row>
    <row r="4" spans="1:11">
      <c r="A4" s="383" t="s">
        <v>171</v>
      </c>
      <c r="B4" s="49">
        <f>IF(ISERROR('SEAP template'!B78+'SEAP template'!C78),0,'SEAP template'!B78+'SEAP template'!C78)</f>
        <v>11367.131634776661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0.18198251866396217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9552.8571428571431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984.98900000000003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0.18198251866396217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179.25077907629745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14549.695284833999</v>
      </c>
      <c r="C5" s="17">
        <f>IF(ISERROR('Eigen informatie GS &amp; warmtenet'!B57),0,'Eigen informatie GS &amp; warmtenet'!B57)</f>
        <v>0</v>
      </c>
      <c r="D5" s="30">
        <f>(SUM(HH_hh_gas_kWh,HH_rest_gas_kWh)/1000)*0.902</f>
        <v>41289.515974642934</v>
      </c>
      <c r="E5" s="17">
        <f>B46*B57</f>
        <v>6183.3990360744556</v>
      </c>
      <c r="F5" s="17">
        <f>B51*B62</f>
        <v>10031.711073578825</v>
      </c>
      <c r="G5" s="18"/>
      <c r="H5" s="17"/>
      <c r="I5" s="17"/>
      <c r="J5" s="17">
        <f>B50*B61+C50*C61</f>
        <v>1357.5225882503801</v>
      </c>
      <c r="K5" s="17"/>
      <c r="L5" s="17"/>
      <c r="M5" s="17"/>
      <c r="N5" s="17">
        <f>B48*B59+C48*C59</f>
        <v>17940.261608981182</v>
      </c>
      <c r="O5" s="17">
        <f>B69*B70*B71</f>
        <v>312.66666666666669</v>
      </c>
      <c r="P5" s="17">
        <f>B77*B78*B79/1000-B77*B78*B79/1000/B80</f>
        <v>648.26666666666665</v>
      </c>
    </row>
    <row r="6" spans="1:16">
      <c r="A6" s="16" t="s">
        <v>621</v>
      </c>
      <c r="B6" s="788">
        <f>kWh_PV_kleiner_dan_10kW</f>
        <v>3398.7751617239992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17948.470446558</v>
      </c>
      <c r="C8" s="21">
        <f>C5</f>
        <v>0</v>
      </c>
      <c r="D8" s="21">
        <f>D5</f>
        <v>41289.515974642934</v>
      </c>
      <c r="E8" s="21">
        <f>E5</f>
        <v>6183.3990360744556</v>
      </c>
      <c r="F8" s="21">
        <f>F5</f>
        <v>10031.711073578825</v>
      </c>
      <c r="G8" s="21"/>
      <c r="H8" s="21"/>
      <c r="I8" s="21"/>
      <c r="J8" s="21">
        <f>J5</f>
        <v>1357.5225882503801</v>
      </c>
      <c r="K8" s="21"/>
      <c r="L8" s="21">
        <f>L5</f>
        <v>0</v>
      </c>
      <c r="M8" s="21">
        <f>M5</f>
        <v>0</v>
      </c>
      <c r="N8" s="21">
        <f>N5</f>
        <v>17940.261608981182</v>
      </c>
      <c r="O8" s="21">
        <f>O5</f>
        <v>312.66666666666669</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0.18198251866396217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3266.3078580303145</v>
      </c>
      <c r="C12" s="23">
        <f ca="1">C10*C8</f>
        <v>0</v>
      </c>
      <c r="D12" s="23">
        <f>D8*D10</f>
        <v>8340.4822268778735</v>
      </c>
      <c r="E12" s="23">
        <f>E10*E8</f>
        <v>1403.6315811889015</v>
      </c>
      <c r="F12" s="23">
        <f>F10*F8</f>
        <v>2678.4668566455462</v>
      </c>
      <c r="G12" s="23"/>
      <c r="H12" s="23"/>
      <c r="I12" s="23"/>
      <c r="J12" s="23">
        <f>J10*J8</f>
        <v>480.5629962406345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4533</v>
      </c>
      <c r="C28" s="36"/>
      <c r="D28" s="228"/>
    </row>
    <row r="29" spans="1:7" s="15" customFormat="1">
      <c r="A29" s="230" t="s">
        <v>794</v>
      </c>
      <c r="B29" s="37">
        <f>SUM(HH_hh_gas_aantal,HH_rest_gas_aantal)</f>
        <v>2968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2968</v>
      </c>
      <c r="C32" s="167">
        <f>IF(ISERROR(B32/SUM($B$32,$B$34,$B$35,$B$36,$B$38,$B$39)*100),0,B32/SUM($B$32,$B$34,$B$35,$B$36,$B$38,$B$39)*100)</f>
        <v>65.970215603467437</v>
      </c>
      <c r="D32" s="233"/>
      <c r="G32" s="15"/>
    </row>
    <row r="33" spans="1:7">
      <c r="A33" s="171" t="s">
        <v>72</v>
      </c>
      <c r="B33" s="34" t="s">
        <v>111</v>
      </c>
      <c r="C33" s="167"/>
      <c r="D33" s="233"/>
      <c r="G33" s="15"/>
    </row>
    <row r="34" spans="1:7">
      <c r="A34" s="171" t="s">
        <v>73</v>
      </c>
      <c r="B34" s="33">
        <f>IF((($B$28-$B$32-$B$39-$B$77-$B$38)*C20/100)&lt;0,0,($B$28-$B$32-$B$39-$B$77-$B$38)*C20/100)</f>
        <v>292.03571428571433</v>
      </c>
      <c r="C34" s="167">
        <f>IF(ISERROR(B34/SUM($B$32,$B$34,$B$35,$B$36,$B$38,$B$39)*100),0,B34/SUM($B$32,$B$34,$B$35,$B$36,$B$38,$B$39)*100)</f>
        <v>6.4911250119074086</v>
      </c>
      <c r="D34" s="233"/>
      <c r="G34" s="15"/>
    </row>
    <row r="35" spans="1:7">
      <c r="A35" s="171" t="s">
        <v>74</v>
      </c>
      <c r="B35" s="33">
        <f>IF((($B$28-$B$32-$B$39-$B$77-$B$38)*C21/100)&lt;0,0,($B$28-$B$32-$B$39-$B$77-$B$38)*C21/100)</f>
        <v>564.33928571428578</v>
      </c>
      <c r="C35" s="167">
        <f>IF(ISERROR(B35/SUM($B$32,$B$34,$B$35,$B$36,$B$38,$B$39)*100),0,B35/SUM($B$32,$B$34,$B$35,$B$36,$B$38,$B$39)*100)</f>
        <v>12.543660495983236</v>
      </c>
      <c r="D35" s="233"/>
      <c r="G35" s="15"/>
    </row>
    <row r="36" spans="1:7">
      <c r="A36" s="171" t="s">
        <v>75</v>
      </c>
      <c r="B36" s="33">
        <f>IF((($B$28-$B$32-$B$39-$B$77-$B$38)*C22/100)&lt;0,0,($B$28-$B$32-$B$39-$B$77-$B$38)*C22/100)</f>
        <v>248.625</v>
      </c>
      <c r="C36" s="167">
        <f>IF(ISERROR(B36/SUM($B$32,$B$34,$B$35,$B$36,$B$38,$B$39)*100),0,B36/SUM($B$32,$B$34,$B$35,$B$36,$B$38,$B$39)*100)</f>
        <v>5.5262280506779282</v>
      </c>
      <c r="D36" s="233"/>
      <c r="G36" s="15"/>
    </row>
    <row r="37" spans="1:7">
      <c r="A37" s="171" t="s">
        <v>76</v>
      </c>
      <c r="B37" s="34" t="s">
        <v>111</v>
      </c>
      <c r="C37" s="167"/>
      <c r="D37" s="173"/>
      <c r="G37" s="15"/>
    </row>
    <row r="38" spans="1:7">
      <c r="A38" s="171" t="s">
        <v>77</v>
      </c>
      <c r="B38" s="33">
        <f>IF((B24-(B29-B18)*0.1)&lt;0,0,B24-(B29-B18)*0.1)</f>
        <v>38.5</v>
      </c>
      <c r="C38" s="167">
        <f>IF(ISERROR(B38/SUM($B$32,$B$34,$B$35,$B$36,$B$38,$B$39)*100),0,B38/SUM($B$32,$B$34,$B$35,$B$36,$B$38,$B$39)*100)</f>
        <v>0.85574572127139359</v>
      </c>
      <c r="D38" s="234"/>
      <c r="G38" s="15"/>
    </row>
    <row r="39" spans="1:7">
      <c r="A39" s="171" t="s">
        <v>78</v>
      </c>
      <c r="B39" s="33">
        <f>IF((B25-(B29-B18))&lt;0,0,B25-(B29-B18)*0.9)</f>
        <v>387.5</v>
      </c>
      <c r="C39" s="167">
        <f>IF(ISERROR(B39/SUM($B$32,$B$34,$B$35,$B$36,$B$38,$B$39)*100),0,B39/SUM($B$32,$B$34,$B$35,$B$36,$B$38,$B$39)*100)</f>
        <v>8.6130251166925973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2968</v>
      </c>
      <c r="C44" s="34" t="s">
        <v>111</v>
      </c>
      <c r="D44" s="174"/>
    </row>
    <row r="45" spans="1:7">
      <c r="A45" s="171" t="s">
        <v>72</v>
      </c>
      <c r="B45" s="33" t="str">
        <f t="shared" si="0"/>
        <v>-</v>
      </c>
      <c r="C45" s="34" t="s">
        <v>111</v>
      </c>
      <c r="D45" s="174"/>
    </row>
    <row r="46" spans="1:7">
      <c r="A46" s="171" t="s">
        <v>73</v>
      </c>
      <c r="B46" s="33">
        <f t="shared" si="0"/>
        <v>292.03571428571433</v>
      </c>
      <c r="C46" s="34" t="s">
        <v>111</v>
      </c>
      <c r="D46" s="174"/>
    </row>
    <row r="47" spans="1:7">
      <c r="A47" s="171" t="s">
        <v>74</v>
      </c>
      <c r="B47" s="33">
        <f t="shared" si="0"/>
        <v>564.33928571428578</v>
      </c>
      <c r="C47" s="34" t="s">
        <v>111</v>
      </c>
      <c r="D47" s="174"/>
    </row>
    <row r="48" spans="1:7">
      <c r="A48" s="171" t="s">
        <v>75</v>
      </c>
      <c r="B48" s="33">
        <f t="shared" si="0"/>
        <v>248.625</v>
      </c>
      <c r="C48" s="33">
        <f>B48*10</f>
        <v>2486.25</v>
      </c>
      <c r="D48" s="234"/>
    </row>
    <row r="49" spans="1:6">
      <c r="A49" s="171" t="s">
        <v>76</v>
      </c>
      <c r="B49" s="33" t="str">
        <f t="shared" si="0"/>
        <v>-</v>
      </c>
      <c r="C49" s="34" t="s">
        <v>111</v>
      </c>
      <c r="D49" s="234"/>
    </row>
    <row r="50" spans="1:6">
      <c r="A50" s="171" t="s">
        <v>77</v>
      </c>
      <c r="B50" s="33">
        <f t="shared" si="0"/>
        <v>38.5</v>
      </c>
      <c r="C50" s="33">
        <f>B50*2</f>
        <v>77</v>
      </c>
      <c r="D50" s="234"/>
    </row>
    <row r="51" spans="1:6">
      <c r="A51" s="171" t="s">
        <v>78</v>
      </c>
      <c r="B51" s="33">
        <f t="shared" si="0"/>
        <v>387.5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54</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53</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52</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51</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50</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55</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260</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488</v>
      </c>
      <c r="B13" s="247">
        <f ca="1">'lokale energieproductie'!N91+'lokale energieproductie'!N60</f>
        <v>6687</v>
      </c>
      <c r="C13" s="247">
        <f ca="1">'lokale energieproductie'!O91+'lokale energieproductie'!O60</f>
        <v>9552.8571428571431</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-19105.714285714286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0.18198251866396217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3818.2554012012247</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1298.5770776212701</v>
      </c>
      <c r="C26" s="39">
        <f>IF(ISERROR(B26*3.6/1000000/'E Balans VL '!Z12*100),0,B26*3.6/1000000/'E Balans VL '!Z12*100)</f>
        <v>2.7449862308659315E-2</v>
      </c>
      <c r="D26" s="237" t="s">
        <v>754</v>
      </c>
      <c r="F26" s="6"/>
    </row>
    <row r="27" spans="1:18">
      <c r="A27" s="231" t="s">
        <v>53</v>
      </c>
      <c r="B27" s="33">
        <f>IF(ISERROR(TER_horeca_ele_kWh/1000),0,TER_horeca_ele_kWh/1000)</f>
        <v>1257.9066856914901</v>
      </c>
      <c r="C27" s="39">
        <f>IF(ISERROR(B27*3.6/1000000/'E Balans VL '!Z9*100),0,B27*3.6/1000000/'E Balans VL '!Z9*100)</f>
        <v>9.9160315187302978E-2</v>
      </c>
      <c r="D27" s="237" t="s">
        <v>754</v>
      </c>
      <c r="F27" s="6"/>
    </row>
    <row r="28" spans="1:18">
      <c r="A28" s="171" t="s">
        <v>52</v>
      </c>
      <c r="B28" s="33">
        <f>IF(ISERROR(TER_handel_ele_kWh/1000),0,TER_handel_ele_kWh/1000)</f>
        <v>3198.5347349182498</v>
      </c>
      <c r="C28" s="39">
        <f>IF(ISERROR(B28*3.6/1000000/'E Balans VL '!Z13*100),0,B28*3.6/1000000/'E Balans VL '!Z13*100)</f>
        <v>9.2834401535816943E-2</v>
      </c>
      <c r="D28" s="237" t="s">
        <v>754</v>
      </c>
      <c r="F28" s="6"/>
    </row>
    <row r="29" spans="1:18">
      <c r="A29" s="231" t="s">
        <v>51</v>
      </c>
      <c r="B29" s="33">
        <f>IF(ISERROR(TER_gezond_ele_kWh/1000),0,TER_gezond_ele_kWh/1000)</f>
        <v>774.18470837544191</v>
      </c>
      <c r="C29" s="39">
        <f>IF(ISERROR(B29*3.6/1000000/'E Balans VL '!Z10*100),0,B29*3.6/1000000/'E Balans VL '!Z10*100)</f>
        <v>8.1534362240405056E-2</v>
      </c>
      <c r="D29" s="237" t="s">
        <v>754</v>
      </c>
      <c r="F29" s="6"/>
    </row>
    <row r="30" spans="1:18">
      <c r="A30" s="231" t="s">
        <v>50</v>
      </c>
      <c r="B30" s="33">
        <f>IF(ISERROR(TER_ander_ele_kWh/1000),0,TER_ander_ele_kWh/1000)</f>
        <v>1113.0901578609401</v>
      </c>
      <c r="C30" s="39">
        <f>IF(ISERROR(B30*3.6/1000000/'E Balans VL '!Z14*100),0,B30*3.6/1000000/'E Balans VL '!Z14*100)</f>
        <v>8.2101771805802609E-2</v>
      </c>
      <c r="D30" s="237" t="s">
        <v>754</v>
      </c>
      <c r="F30" s="6"/>
    </row>
    <row r="31" spans="1:18">
      <c r="A31" s="231" t="s">
        <v>55</v>
      </c>
      <c r="B31" s="33">
        <f>IF(ISERROR(TER_onderwijs_ele_kWh/1000),0,TER_onderwijs_ele_kWh/1000)</f>
        <v>195.23976188989801</v>
      </c>
      <c r="C31" s="39">
        <f>IF(ISERROR(B31*3.6/1000000/'E Balans VL '!Z11*100),0,B31*3.6/1000000/'E Balans VL '!Z11*100)</f>
        <v>4.8487178446309995E-2</v>
      </c>
      <c r="D31" s="237" t="s">
        <v>754</v>
      </c>
    </row>
    <row r="32" spans="1:18">
      <c r="A32" s="231" t="s">
        <v>260</v>
      </c>
      <c r="B32" s="33">
        <f>IF(ISERROR(TER_rest_ele_kWh/1000),0,TER_rest_ele_kWh/1000)</f>
        <v>6456.9074495465002</v>
      </c>
      <c r="C32" s="39">
        <f>IF(ISERROR(B32*3.6/1000000/'E Balans VL '!Z8*100),0,B32*3.6/1000000/'E Balans VL '!Z8*100)</f>
        <v>5.3131777636359991E-2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4764.802574933854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33</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665.49980810863246</v>
      </c>
      <c r="O9" s="33"/>
      <c r="P9" s="33"/>
      <c r="R9" s="32"/>
    </row>
    <row r="10" spans="1:18">
      <c r="A10" s="6" t="s">
        <v>41</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40</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132.14086935433676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3919.6501713465777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4764.802574933854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0.18198251866396217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3934.6933479826207</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1688.2468612994901</v>
      </c>
      <c r="C30" s="39">
        <f>IF(ISERROR(B30*3.6/1000000/'E Balans VL '!Z18*100),0,B30*3.6/1000000/'E Balans VL '!Z18*100)</f>
        <v>9.5677278577928626E-2</v>
      </c>
      <c r="D30" s="237" t="s">
        <v>754</v>
      </c>
    </row>
    <row r="31" spans="1:18">
      <c r="A31" s="6" t="s">
        <v>33</v>
      </c>
      <c r="B31" s="37">
        <f>IF( ISERROR(IND_ander_ele_kWh/1000),0,IND_ander_ele_kWh/1000)</f>
        <v>2014.1300580088798</v>
      </c>
      <c r="C31" s="39">
        <f>IF(ISERROR(B31*3.6/1000000/'E Balans VL '!Z19*100),0,B31*3.6/1000000/'E Balans VL '!Z19*100)</f>
        <v>9.1352552739689036E-2</v>
      </c>
      <c r="D31" s="237" t="s">
        <v>754</v>
      </c>
    </row>
    <row r="32" spans="1:18">
      <c r="A32" s="171" t="s">
        <v>41</v>
      </c>
      <c r="B32" s="37">
        <f>IF( ISERROR(IND_voed_ele_kWh/1000),0,IND_voed_ele_kWh/1000)</f>
        <v>99.996394323105505</v>
      </c>
      <c r="C32" s="39">
        <f>IF(ISERROR(B32*3.6/1000000/'E Balans VL '!Z20*100),0,B32*3.6/1000000/'E Balans VL '!Z20*100)</f>
        <v>3.0933424217147848E-3</v>
      </c>
      <c r="D32" s="237" t="s">
        <v>754</v>
      </c>
    </row>
    <row r="33" spans="1:5">
      <c r="A33" s="171" t="s">
        <v>40</v>
      </c>
      <c r="B33" s="37">
        <f>IF( ISERROR(IND_textiel_ele_kWh/1000),0,IND_textiel_ele_kWh/1000)</f>
        <v>299.62648216448997</v>
      </c>
      <c r="C33" s="39">
        <f>IF(ISERROR(B33*3.6/1000000/'E Balans VL '!Z21*100),0,B33*3.6/1000000/'E Balans VL '!Z21*100)</f>
        <v>3.9067962756309804E-2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45.459797188673001</v>
      </c>
      <c r="C35" s="39">
        <f>IF(ISERROR(B35*3.6/1000000/'E Balans VL '!Z22*100),0,B35*3.6/1000000/'E Balans VL '!Z22*100)</f>
        <v>8.1767991849047653E-3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17473.811377817703</v>
      </c>
      <c r="C37" s="39">
        <f>IF(ISERROR(B37*3.6/1000000/'E Balans VL '!Z15*100),0,B37*3.6/1000000/'E Balans VL '!Z15*100)</f>
        <v>0.13850141505051528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2179.0610796611204</v>
      </c>
      <c r="C5" s="17">
        <f>'Eigen informatie GS &amp; warmtenet'!B60</f>
        <v>0</v>
      </c>
      <c r="D5" s="30">
        <f>IF(ISERROR(SUM(LB_lb_gas_kWh,LB_rest_gas_kWh)/1000),0,SUM(LB_lb_gas_kWh,LB_rest_gas_kWh)/1000)*0.902</f>
        <v>218.29787345378659</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2179.0610796611204</v>
      </c>
      <c r="C8" s="21">
        <f>C5+C6</f>
        <v>0</v>
      </c>
      <c r="D8" s="21">
        <f>MAX((D5+D6),0)</f>
        <v>218.29787345378659</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0.18198251866396217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396.55102359934341</v>
      </c>
      <c r="C12" s="23">
        <f ca="1">C8*C10</f>
        <v>0</v>
      </c>
      <c r="D12" s="23">
        <f>D8*D10</f>
        <v>44.096170437664895</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0.30921560379955548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327.88284245077654</v>
      </c>
      <c r="C26" s="247">
        <f>B26*'GWP N2O_CH4'!B5</f>
        <v>6885.539691466307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229.22910557110535</v>
      </c>
      <c r="C27" s="247">
        <f>B27*'GWP N2O_CH4'!B5</f>
        <v>4813.8112169932119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7">
        <f>B28*'GWP N2O_CH4'!B4</f>
        <v>1454.2866962032854</v>
      </c>
      <c r="D28" s="50"/>
    </row>
    <row r="29" spans="1:4">
      <c r="A29" s="41" t="s">
        <v>277</v>
      </c>
      <c r="B29" s="247">
        <f>B34*'ha_N2O bodem landbouw'!B4</f>
        <v>16.408152689383897</v>
      </c>
      <c r="C29" s="247">
        <f>B29*'GWP N2O_CH4'!B4</f>
        <v>5086.5273337090084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3.7442838987077156E-3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5.2180820842797588E-5</v>
      </c>
      <c r="C5" s="463" t="s">
        <v>211</v>
      </c>
      <c r="D5" s="448">
        <f>SUM(D6:D11)</f>
        <v>2.5070584819802846E-4</v>
      </c>
      <c r="E5" s="448">
        <f>SUM(E6:E11)</f>
        <v>3.2077166660245728E-4</v>
      </c>
      <c r="F5" s="461" t="s">
        <v>211</v>
      </c>
      <c r="G5" s="448">
        <f>SUM(G6:G11)</f>
        <v>0.10102621049827221</v>
      </c>
      <c r="H5" s="448">
        <f>SUM(H6:H11)</f>
        <v>2.7830658858849722E-2</v>
      </c>
      <c r="I5" s="463" t="s">
        <v>211</v>
      </c>
      <c r="J5" s="463" t="s">
        <v>211</v>
      </c>
      <c r="K5" s="463" t="s">
        <v>211</v>
      </c>
      <c r="L5" s="463" t="s">
        <v>211</v>
      </c>
      <c r="M5" s="448">
        <f>SUM(M6:M11)</f>
        <v>6.7234517608555202E-3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1.1816638174335729E-5</v>
      </c>
      <c r="C6" s="449"/>
      <c r="D6" s="892">
        <f>vkm_2011_GW_PW*SUMIFS(TableVerdeelsleutelVkm[CNG],TableVerdeelsleutelVkm[Voertuigtype],"Lichte voertuigen")*SUMIFS(TableECFTransport[EnergieConsumptieFactor (PJ per km)],TableECFTransport[Index],CONCATENATE($A6,"_CNG_CNG"))</f>
        <v>3.544313238960467E-5</v>
      </c>
      <c r="E6" s="892">
        <f>vkm_2011_GW_PW*SUMIFS(TableVerdeelsleutelVkm[LPG],TableVerdeelsleutelVkm[Voertuigtype],"Lichte voertuigen")*SUMIFS(TableECFTransport[EnergieConsumptieFactor (PJ per km)],TableECFTransport[Index],CONCATENATE($A6,"_LPG_LPG"))</f>
        <v>4.8420409999264147E-5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1.251929839971639E-2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4.0312484816456108E-3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8.5035495423923385E-4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5.1572200092111133E-3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1.5718158635644773E-6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3.0137053786560711E-4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4.0364182668461861E-5</v>
      </c>
      <c r="C8" s="449"/>
      <c r="D8" s="451">
        <f>vkm_2011_NGW_PW*SUMIFS(TableVerdeelsleutelVkm[CNG],TableVerdeelsleutelVkm[Voertuigtype],"Lichte voertuigen")*SUMIFS(TableECFTransport[EnergieConsumptieFactor (PJ per km)],TableECFTransport[Index],CONCATENATE($A8,"_CNG_CNG"))</f>
        <v>2.1526271580842377E-4</v>
      </c>
      <c r="E8" s="451">
        <f>vkm_2011_NGW_PW*SUMIFS(TableVerdeelsleutelVkm[LPG],TableVerdeelsleutelVkm[Voertuigtype],"Lichte voertuigen")*SUMIFS(TableECFTransport[EnergieConsumptieFactor (PJ per km)],TableECFTransport[Index],CONCATENATE($A8,"_LPG_LPG"))</f>
        <v>2.7235125660319312E-4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6.5621705986746728E-2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2.3792751981531777E-2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4.5357719068394031E-3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1.7727986102597966E-2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5.0865798087673138E-6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1.0359543619112765E-3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14.494672456332662</v>
      </c>
      <c r="C14" s="21"/>
      <c r="D14" s="21">
        <f t="shared" ref="D14:M14" si="0">((D5)*10^9/3600)+D12</f>
        <v>69.640513388341233</v>
      </c>
      <c r="E14" s="21">
        <f t="shared" si="0"/>
        <v>89.1032407229048</v>
      </c>
      <c r="F14" s="21"/>
      <c r="G14" s="21">
        <f t="shared" si="0"/>
        <v>28062.83624952006</v>
      </c>
      <c r="H14" s="21">
        <f t="shared" si="0"/>
        <v>7730.7385719027006</v>
      </c>
      <c r="I14" s="21"/>
      <c r="J14" s="21"/>
      <c r="K14" s="21"/>
      <c r="L14" s="21"/>
      <c r="M14" s="21">
        <f t="shared" si="0"/>
        <v>1867.6254891265335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0.18198251866396217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2.6377770008125769</v>
      </c>
      <c r="C18" s="23"/>
      <c r="D18" s="23">
        <f t="shared" ref="D18:M18" si="1">D14*D16</f>
        <v>14.06738370444493</v>
      </c>
      <c r="E18" s="23">
        <f t="shared" si="1"/>
        <v>20.226435644099389</v>
      </c>
      <c r="F18" s="23"/>
      <c r="G18" s="23">
        <f t="shared" si="1"/>
        <v>7492.7772786218566</v>
      </c>
      <c r="H18" s="23">
        <f t="shared" si="1"/>
        <v>1924.9539044037724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4.2424692958908505E-3</v>
      </c>
      <c r="H50" s="321">
        <f t="shared" si="2"/>
        <v>0</v>
      </c>
      <c r="I50" s="321">
        <f t="shared" si="2"/>
        <v>0</v>
      </c>
      <c r="J50" s="321">
        <f t="shared" si="2"/>
        <v>0</v>
      </c>
      <c r="K50" s="321">
        <f t="shared" si="2"/>
        <v>0</v>
      </c>
      <c r="L50" s="321">
        <f t="shared" si="2"/>
        <v>0</v>
      </c>
      <c r="M50" s="321">
        <f t="shared" si="2"/>
        <v>2.4095352730183443E-4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4.2424692958908505E-3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2.4095352730183443E-4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1178.463693303014</v>
      </c>
      <c r="H54" s="21">
        <f t="shared" si="3"/>
        <v>0</v>
      </c>
      <c r="I54" s="21">
        <f t="shared" si="3"/>
        <v>0</v>
      </c>
      <c r="J54" s="21">
        <f t="shared" si="3"/>
        <v>0</v>
      </c>
      <c r="K54" s="21">
        <f t="shared" si="3"/>
        <v>0</v>
      </c>
      <c r="L54" s="21">
        <f t="shared" si="3"/>
        <v>0</v>
      </c>
      <c r="M54" s="21">
        <f t="shared" si="3"/>
        <v>66.931535361620675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0.18198251866396217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314.64980611190475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4680.1316347766606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6687</v>
      </c>
      <c r="C8" s="570">
        <f>B101</f>
        <v>0</v>
      </c>
      <c r="D8" s="1044"/>
      <c r="E8" s="1044">
        <f>E101</f>
        <v>0</v>
      </c>
      <c r="F8" s="1045"/>
      <c r="G8" s="571"/>
      <c r="H8" s="1044">
        <f>I101</f>
        <v>0</v>
      </c>
      <c r="I8" s="1044">
        <f>G101+F101</f>
        <v>0</v>
      </c>
      <c r="J8" s="1044">
        <f>H101+D101+C101</f>
        <v>7867.0588235294117</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11367.131634776661</v>
      </c>
      <c r="C10" s="583">
        <f t="shared" ref="C10:L10" si="0">SUM(C8:C9)</f>
        <v>0</v>
      </c>
      <c r="D10" s="583">
        <f t="shared" si="0"/>
        <v>0</v>
      </c>
      <c r="E10" s="583">
        <f t="shared" si="0"/>
        <v>0</v>
      </c>
      <c r="F10" s="583">
        <f t="shared" si="0"/>
        <v>0</v>
      </c>
      <c r="G10" s="583">
        <f t="shared" si="0"/>
        <v>0</v>
      </c>
      <c r="H10" s="583">
        <f t="shared" si="0"/>
        <v>0</v>
      </c>
      <c r="I10" s="583">
        <f t="shared" si="0"/>
        <v>0</v>
      </c>
      <c r="J10" s="583">
        <f t="shared" si="0"/>
        <v>7867.0588235294117</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9552.8571428571431</v>
      </c>
      <c r="C17" s="595">
        <f>B102</f>
        <v>0</v>
      </c>
      <c r="D17" s="596"/>
      <c r="E17" s="596">
        <f>E102</f>
        <v>0</v>
      </c>
      <c r="F17" s="1050"/>
      <c r="G17" s="597"/>
      <c r="H17" s="595">
        <f>I102</f>
        <v>0</v>
      </c>
      <c r="I17" s="596">
        <f>G102+F102</f>
        <v>0</v>
      </c>
      <c r="J17" s="596">
        <f>H102+D102+C102</f>
        <v>11238.655462184875</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9552.8571428571431</v>
      </c>
      <c r="C20" s="582">
        <f>SUM(C17:C19)</f>
        <v>0</v>
      </c>
      <c r="D20" s="582">
        <f t="shared" ref="D20:L20" si="1">SUM(D17:D19)</f>
        <v>0</v>
      </c>
      <c r="E20" s="582">
        <f t="shared" si="1"/>
        <v>0</v>
      </c>
      <c r="F20" s="582">
        <f t="shared" si="1"/>
        <v>0</v>
      </c>
      <c r="G20" s="582">
        <f t="shared" si="1"/>
        <v>0</v>
      </c>
      <c r="H20" s="582">
        <f t="shared" si="1"/>
        <v>0</v>
      </c>
      <c r="I20" s="582">
        <f t="shared" si="1"/>
        <v>0</v>
      </c>
      <c r="J20" s="582">
        <f t="shared" si="1"/>
        <v>11238.655462184875</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36012</v>
      </c>
      <c r="C28" s="796">
        <v>8890</v>
      </c>
      <c r="D28" s="653" t="s">
        <v>881</v>
      </c>
      <c r="E28" s="652" t="s">
        <v>882</v>
      </c>
      <c r="F28" s="652" t="s">
        <v>883</v>
      </c>
      <c r="G28" s="652" t="s">
        <v>884</v>
      </c>
      <c r="H28" s="652" t="s">
        <v>885</v>
      </c>
      <c r="I28" s="652" t="s">
        <v>886</v>
      </c>
      <c r="J28" s="795">
        <v>40634</v>
      </c>
      <c r="K28" s="795">
        <v>40634</v>
      </c>
      <c r="L28" s="652" t="s">
        <v>887</v>
      </c>
      <c r="M28" s="652">
        <v>1486</v>
      </c>
      <c r="N28" s="652">
        <v>6687</v>
      </c>
      <c r="O28" s="652">
        <v>9552.8571428571431</v>
      </c>
      <c r="P28" s="652">
        <v>0</v>
      </c>
      <c r="Q28" s="652">
        <v>19105.714285714286</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1486</v>
      </c>
      <c r="N58" s="610">
        <f>SUM(N28:N57)</f>
        <v>6687</v>
      </c>
      <c r="O58" s="610">
        <f t="shared" ref="O58:W58" si="2">SUM(O28:O57)</f>
        <v>9552.8571428571431</v>
      </c>
      <c r="P58" s="610">
        <f t="shared" si="2"/>
        <v>0</v>
      </c>
      <c r="Q58" s="610">
        <f t="shared" si="2"/>
        <v>19105.714285714286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1486</v>
      </c>
      <c r="N60" s="610">
        <f ca="1">SUMIF($Z$28:AD57,"tertiair",N28:N57)</f>
        <v>6687</v>
      </c>
      <c r="O60" s="610">
        <f ca="1">SUMIF($Z$28:AE57,"tertiair",O28:O57)</f>
        <v>9552.8571428571431</v>
      </c>
      <c r="P60" s="610">
        <f ca="1">SUMIF($Z$28:AF57,"tertiair",P28:P57)</f>
        <v>0</v>
      </c>
      <c r="Q60" s="610">
        <f ca="1">SUMIF($Z$28:AG57,"tertiair",Q28:Q57)</f>
        <v>19105.714285714286</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7867.0588235294117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11238.655462184875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2019-08-12T08:33:50Z</dcterms:modified>
</cp:coreProperties>
</file>