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D9"/>
  <c r="C9"/>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K18" i="61" l="1"/>
  <c r="K20" s="1"/>
  <c r="K90" i="14"/>
  <c r="O9" i="18"/>
  <c r="Q14" i="48"/>
  <c r="L78" i="14"/>
  <c r="L8" i="61"/>
  <c r="L10" s="1"/>
  <c r="E90" i="14"/>
  <c r="E18" i="61"/>
  <c r="K78" i="14"/>
  <c r="K8" i="61"/>
  <c r="K10" s="1"/>
  <c r="N20"/>
  <c r="N77" i="14"/>
  <c r="E89"/>
  <c r="E19" i="61" s="1"/>
  <c r="B10" i="18"/>
  <c r="M77" i="14"/>
  <c r="M9" i="61" s="1"/>
  <c r="H9" i="18"/>
  <c r="P31" i="48"/>
  <c r="J22" i="14"/>
  <c r="P22"/>
  <c r="E10" i="61"/>
  <c r="B17" i="18"/>
  <c r="B20" s="1"/>
  <c r="F13" i="15"/>
  <c r="L90" i="14"/>
  <c r="L18" i="61"/>
  <c r="L20" s="1"/>
  <c r="O10"/>
  <c r="E20"/>
  <c r="L20" i="18"/>
  <c r="C98"/>
  <c r="C101" s="1"/>
  <c r="O77" i="14"/>
  <c r="O9" i="61" s="1"/>
  <c r="P27" i="48"/>
  <c r="O22" i="14"/>
  <c r="H20" i="61"/>
  <c r="P25" i="48"/>
  <c r="I77" i="14"/>
  <c r="I9" i="61" s="1"/>
  <c r="L13" i="15"/>
  <c r="B13"/>
  <c r="H90" i="14"/>
  <c r="N13" i="15"/>
  <c r="F77" i="14"/>
  <c r="F9" i="61" s="1"/>
  <c r="I101" i="18"/>
  <c r="H8" s="1"/>
  <c r="E101"/>
  <c r="E8" s="1"/>
  <c r="G101"/>
  <c r="I8" s="1"/>
  <c r="F101"/>
  <c r="H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O29" i="48"/>
  <c r="O27"/>
  <c r="P29"/>
  <c r="P32"/>
  <c r="O24"/>
  <c r="P24"/>
  <c r="P30"/>
  <c r="G78" i="14"/>
  <c r="R9"/>
  <c r="D22"/>
  <c r="E55"/>
  <c r="R25"/>
  <c r="E78"/>
  <c r="O90" l="1"/>
  <c r="O18" i="61"/>
  <c r="O20" s="1"/>
  <c r="N78" i="14"/>
  <c r="N9" i="61"/>
  <c r="N10" s="1"/>
  <c r="H78" i="14"/>
  <c r="H9" i="61"/>
  <c r="H10" s="1"/>
  <c r="D101" i="18"/>
  <c r="Q89" i="14"/>
  <c r="P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8"/>
  <c r="I30"/>
  <c r="I22"/>
  <c r="I32"/>
  <c r="I26"/>
  <c r="I27"/>
  <c r="I29"/>
  <c r="I24"/>
  <c r="D4"/>
  <c r="D22" s="1"/>
  <c r="E11" i="14"/>
  <c r="H29" i="48"/>
  <c r="H32"/>
  <c r="H26"/>
  <c r="H30"/>
  <c r="H24"/>
  <c r="H25"/>
  <c r="H22"/>
  <c r="H28"/>
  <c r="H23"/>
  <c r="C4"/>
  <c r="D11" i="14"/>
  <c r="G23" i="48"/>
  <c r="G30"/>
  <c r="G32"/>
  <c r="G29"/>
  <c r="G22"/>
  <c r="G26"/>
  <c r="G24"/>
  <c r="G25"/>
  <c r="B4"/>
  <c r="C11" i="14"/>
  <c r="F31" i="48"/>
  <c r="F29"/>
  <c r="F30"/>
  <c r="F32"/>
  <c r="F24"/>
  <c r="F27"/>
  <c r="F28"/>
  <c r="N30"/>
  <c r="N24"/>
  <c r="N31"/>
  <c r="N32"/>
  <c r="N27"/>
  <c r="N28"/>
  <c r="N29"/>
  <c r="B10"/>
  <c r="C19" i="14"/>
  <c r="E31" i="48"/>
  <c r="E29"/>
  <c r="E24"/>
  <c r="E30"/>
  <c r="E28"/>
  <c r="E32"/>
  <c r="M29"/>
  <c r="M26"/>
  <c r="M24"/>
  <c r="M25"/>
  <c r="M30"/>
  <c r="M32"/>
  <c r="M22"/>
  <c r="M23"/>
  <c r="K5"/>
  <c r="L10" i="14"/>
  <c r="L16" s="1"/>
  <c r="L27" s="1"/>
  <c r="D30" i="48"/>
  <c r="D28"/>
  <c r="D32"/>
  <c r="D24"/>
  <c r="D29"/>
  <c r="D31"/>
  <c r="L29"/>
  <c r="L32"/>
  <c r="L27"/>
  <c r="L28"/>
  <c r="L24"/>
  <c r="L22"/>
  <c r="L31"/>
  <c r="L30"/>
  <c r="Q10" i="14"/>
  <c r="P5" i="48"/>
  <c r="P23" s="1"/>
  <c r="K32"/>
  <c r="K24"/>
  <c r="K27"/>
  <c r="K31"/>
  <c r="K26"/>
  <c r="K28"/>
  <c r="K22"/>
  <c r="K29"/>
  <c r="K25"/>
  <c r="K30"/>
  <c r="B7"/>
  <c r="C24" i="14"/>
  <c r="C26" s="1"/>
  <c r="J30" i="48"/>
  <c r="J31"/>
  <c r="J32"/>
  <c r="J24"/>
  <c r="J29"/>
  <c r="J27"/>
  <c r="J28"/>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K23"/>
  <c r="K15"/>
  <c r="O22"/>
  <c r="F20" i="14"/>
  <c r="F22" s="1"/>
  <c r="E9" i="48"/>
  <c r="E27" s="1"/>
  <c r="Q13" i="14"/>
  <c r="Q16" s="1"/>
  <c r="Q27" s="1"/>
  <c r="P8" i="48"/>
  <c r="P26" s="1"/>
  <c r="D9"/>
  <c r="D27" s="1"/>
  <c r="E20" i="14"/>
  <c r="E22" s="1"/>
  <c r="P10"/>
  <c r="O5" i="48"/>
  <c r="O23" s="1"/>
  <c r="B9"/>
  <c r="C20" i="14"/>
  <c r="C22" s="1"/>
  <c r="K24"/>
  <c r="K26" s="1"/>
  <c r="J7" i="48"/>
  <c r="J25" s="1"/>
  <c r="P22"/>
  <c r="G11" i="14"/>
  <c r="F4" i="48"/>
  <c r="F22" s="1"/>
  <c r="I5"/>
  <c r="J10" i="14"/>
  <c r="J16" s="1"/>
  <c r="J27" s="1"/>
  <c r="J63"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J4" i="48"/>
  <c r="K11" i="14"/>
  <c r="O11"/>
  <c r="N4" i="48"/>
  <c r="N22" s="1"/>
  <c r="M10"/>
  <c r="M28" s="1"/>
  <c r="N19" i="14"/>
  <c r="H19"/>
  <c r="G10" i="48"/>
  <c r="E7"/>
  <c r="E25" s="1"/>
  <c r="F24" i="14"/>
  <c r="F26" s="1"/>
  <c r="P13"/>
  <c r="P16" s="1"/>
  <c r="P27" s="1"/>
  <c r="O8" i="48"/>
  <c r="I15"/>
  <c r="I23"/>
  <c r="I33" s="1"/>
  <c r="M14" i="22"/>
  <c r="P33" i="48"/>
  <c r="H14" i="22"/>
  <c r="P15" i="48"/>
  <c r="Q63" i="14"/>
  <c r="I20"/>
  <c r="I22" s="1"/>
  <c r="I27" s="1"/>
  <c r="H9" i="48"/>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P63" l="1"/>
  <c r="G28" i="48"/>
  <c r="Q10"/>
  <c r="G9"/>
  <c r="H20" i="14"/>
  <c r="H22" s="1"/>
  <c r="H27" s="1"/>
  <c r="J22" i="48"/>
  <c r="J5"/>
  <c r="J23" s="1"/>
  <c r="K10" i="14"/>
  <c r="F10"/>
  <c r="E5" i="48"/>
  <c r="E23" s="1"/>
  <c r="O26"/>
  <c r="O33" s="1"/>
  <c r="O15"/>
  <c r="R19" i="14"/>
  <c r="E22" i="48"/>
  <c r="Q4"/>
  <c r="Q7"/>
  <c r="M15"/>
  <c r="M27"/>
  <c r="M33" s="1"/>
  <c r="H15"/>
  <c r="H27"/>
  <c r="H33" s="1"/>
  <c r="N63" i="14"/>
  <c r="R20"/>
  <c r="R22" s="1"/>
  <c r="R24"/>
  <c r="R26" s="1"/>
  <c r="N18" i="16"/>
  <c r="E20" i="15"/>
  <c r="F40" i="14" s="1"/>
  <c r="F18" i="16"/>
  <c r="J18"/>
  <c r="E18"/>
  <c r="G18" i="22"/>
  <c r="H50" i="14" s="1"/>
  <c r="H52" s="1"/>
  <c r="H61" s="1"/>
  <c r="H18" i="22"/>
  <c r="I50" i="14" s="1"/>
  <c r="I52" s="1"/>
  <c r="I61" s="1"/>
  <c r="I63" s="1"/>
  <c r="E8" i="48" l="1"/>
  <c r="E26" s="1"/>
  <c r="F13" i="14"/>
  <c r="F16" s="1"/>
  <c r="F27" s="1"/>
  <c r="F63" s="1"/>
  <c r="G27" i="48"/>
  <c r="G33" s="1"/>
  <c r="G15"/>
  <c r="J8"/>
  <c r="K13" i="14"/>
  <c r="H63"/>
  <c r="F46"/>
  <c r="F61" s="1"/>
  <c r="Q9" i="48"/>
  <c r="E15"/>
  <c r="E33"/>
  <c r="K16" i="14"/>
  <c r="K27" s="1"/>
  <c r="N8" i="48"/>
  <c r="N26" s="1"/>
  <c r="O13" i="14"/>
  <c r="F8" i="48"/>
  <c r="G13" i="14"/>
  <c r="R13" s="1"/>
  <c r="E22" i="16"/>
  <c r="F43" i="14" s="1"/>
  <c r="F22" i="16"/>
  <c r="G43" i="14" s="1"/>
  <c r="N22" i="16"/>
  <c r="O43" i="14" s="1"/>
  <c r="J22" i="16"/>
  <c r="K43" i="14" s="1"/>
  <c r="K46" s="1"/>
  <c r="K61" s="1"/>
  <c r="J26" i="48" l="1"/>
  <c r="J33" s="1"/>
  <c r="J15"/>
  <c r="K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<sst xmlns="http://schemas.openxmlformats.org/spreadsheetml/2006/main" count="2401" uniqueCount="890">
  <si>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</si>
  <si>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</si>
  <si>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</si>
  <si>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</si>
  <si>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</si>
  <si>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</si>
  <si>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</si>
  <si>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</si>
  <si>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</si>
  <si>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</si>
  <si>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</si>
  <si>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</si>
  <si>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</si>
  <si>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</si>
  <si>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</si>
  <si>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</si>
  <si>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</si>
  <si>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</si>
  <si>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</si>
  <si>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</si>
  <si>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</si>
  <si>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</si>
  <si>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</si>
  <si>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</si>
  <si>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</si>
  <si>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</si>
  <si>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</si>
  <si>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</si>
  <si>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</si>
  <si>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</si>
  <si>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</si>
  <si>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</si>
  <si>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</si>
  <si>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</si>
  <si>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</si>
  <si>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</si>
  <si>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</si>
  <si>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</si>
  <si>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</si>
  <si>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</si>
  <si>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</si>
  <si>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</si>
  <si>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</si>
  <si>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</si>
  <si>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</si>
  <si>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</si>
  <si>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</si>
  <si>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</si>
  <si>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</si>
  <si>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</si>
  <si>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</si>
  <si>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</si>
  <si>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</si>
  <si>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</si>
  <si>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</si>
  <si>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</si>
  <si>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</si>
  <si>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</si>
  <si>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</si>
  <si>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</si>
  <si>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</si>
  <si>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</si>
  <si>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</si>
  <si>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</si>
  <si>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</si>
  <si>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</si>
  <si>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</si>
  <si>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</si>
  <si>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</si>
  <si>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</si>
  <si>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</si>
  <si>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</si>
  <si>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</si>
  <si>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</si>
  <si>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</si>
  <si>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</si>
  <si>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</si>
  <si>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</si>
  <si>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</si>
  <si>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</si>
  <si>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</si>
  <si>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</si>
  <si>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</si>
  <si>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</si>
  <si>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</si>
  <si>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</si>
  <si>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</si>
  <si>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</si>
  <si>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</si>
  <si>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</si>
  <si>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</si>
  <si>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</si>
  <si>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</si>
  <si>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</si>
  <si>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</si>
  <si>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</si>
  <si>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</si>
  <si>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</si>
  <si>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</si>
  <si>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</si>
  <si>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</si>
  <si>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</si>
  <si>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</si>
  <si>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</si>
  <si>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</si>
  <si>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</si>
  <si>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</si>
  <si>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</si>
  <si>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</si>
  <si>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</si>
  <si>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</si>
  <si>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</si>
  <si>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</si>
  <si>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</si>
  <si>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</si>
  <si>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</si>
  <si>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</si>
  <si>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</si>
  <si>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</si>
  <si>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</si>
  <si>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</si>
  <si>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</si>
  <si>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</si>
  <si>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</si>
  <si>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</si>
  <si>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</si>
  <si>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</si>
  <si>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</si>
  <si>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</si>
  <si>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</si>
  <si>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</si>
  <si>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</si>
  <si>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</si>
  <si>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</si>
  <si>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</si>
  <si>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</si>
  <si>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</si>
  <si>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</si>
  <si>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</si>
  <si>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</si>
  <si>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</si>
  <si>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</si>
  <si>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</si>
  <si>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</si>
  <si>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</si>
  <si>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</si>
  <si>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</si>
  <si>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</si>
  <si>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</si>
  <si>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</si>
  <si>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</si>
  <si>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</si>
  <si>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</si>
  <si>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</si>
  <si>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</si>
  <si>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</si>
  <si>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</si>
  <si>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</si>
  <si>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</si>
  <si>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</si>
  <si>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</si>
  <si>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</si>
  <si>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</si>
  <si>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</si>
  <si>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</si>
  <si>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</si>
  <si>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</si>
  <si>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</si>
  <si>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</si>
  <si>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</si>
  <si>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</si>
  <si>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</si>
  <si>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</si>
  <si>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</si>
  <si>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</si>
  <si>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</si>
  <si>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</si>
  <si>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</si>
  <si>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</si>
  <si>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</si>
  <si>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</si>
  <si>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</si>
  <si>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</si>
  <si>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</si>
  <si>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</si>
  <si>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</si>
  <si>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</si>
  <si>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</si>
  <si>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</si>
  <si>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</si>
  <si>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</si>
  <si>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</si>
  <si>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</si>
  <si>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</si>
  <si>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</si>
  <si>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</si>
  <si>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</si>
  <si>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</si>
  <si>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</si>
  <si>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</si>
  <si>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</si>
  <si>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</si>
  <si>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</si>
  <si>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</si>
  <si>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</si>
  <si>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</si>
  <si>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</si>
  <si>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</si>
  <si>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</si>
  <si>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</si>
  <si>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</si>
  <si>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</si>
  <si>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</si>
  <si>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</si>
  <si>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</si>
  <si>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</si>
  <si>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</si>
  <si>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</si>
  <si>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</si>
  <si>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</si>
  <si>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</si>
  <si>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</si>
  <si>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</si>
  <si>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</si>
  <si>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</si>
  <si>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</si>
  <si>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</si>
  <si>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</si>
  <si>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</si>
  <si>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</si>
  <si>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</si>
  <si>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</si>
  <si>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</si>
  <si>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</si>
  <si>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</si>
  <si>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</si>
  <si>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</si>
  <si>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</si>
  <si>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</si>
  <si>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</si>
  <si>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</si>
  <si>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</si>
  <si>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</si>
  <si>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</si>
  <si>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</si>
  <si>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</si>
  <si>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</si>
  <si>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</si>
  <si>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</si>
  <si>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</si>
  <si>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</si>
  <si>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</si>
  <si>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</si>
  <si>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</si>
  <si>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</si>
  <si>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</si>
  <si>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</si>
  <si>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</si>
  <si>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</si>
  <si>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</si>
  <si>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</si>
  <si>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</si>
  <si>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</si>
  <si>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</si>
  <si>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</si>
  <si>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</si>
  <si>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</si>
  <si>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</si>
  <si>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</si>
  <si>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</si>
  <si>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</si>
  <si>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</si>
  <si>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</si>
  <si>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</si>
  <si>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</si>
  <si>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</si>
  <si>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</si>
  <si>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</si>
  <si>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</si>
  <si>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</si>
  <si>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</si>
  <si>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</si>
  <si>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</si>
  <si>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</si>
  <si>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</si>
  <si>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</si>
  <si>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</si>
  <si>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</si>
  <si>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</si>
  <si>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</si>
  <si>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</si>
  <si>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</si>
  <si>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</si>
  <si>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</si>
  <si>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</si>
  <si>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</si>
  <si>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</si>
  <si>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</si>
  <si>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</si>
  <si>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</si>
  <si>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</si>
  <si>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</si>
  <si>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</si>
  <si>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</si>
  <si>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</si>
  <si>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</si>
  <si>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</si>
  <si>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</si>
  <si>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</si>
  <si>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</si>
  <si>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</si>
  <si>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</si>
  <si>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</si>
  <si>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</si>
  <si>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</si>
  <si>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</si>
  <si>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</si>
  <si>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</si>
  <si>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</si>
  <si>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</si>
  <si>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</si>
  <si>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</si>
  <si>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</si>
  <si>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</si>
  <si>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</si>
  <si>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</si>
  <si>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</si>
  <si>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</si>
  <si>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</si>
  <si>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</si>
  <si>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</si>
  <si>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</si>
  <si>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</si>
  <si>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</si>
  <si>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</si>
  <si>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</si>
  <si>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</si>
  <si>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</si>
  <si>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</si>
  <si>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</si>
  <si>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</si>
  <si>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</si>
  <si>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</si>
  <si>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</si>
  <si>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</si>
  <si>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</si>
  <si>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</si>
  <si>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</si>
  <si>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</si>
  <si>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</si>
  <si>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</si>
  <si>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</si>
  <si>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</si>
  <si>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</si>
  <si>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</si>
  <si>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</si>
  <si>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</si>
  <si>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</si>
  <si>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</si>
  <si>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</si>
  <si>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</si>
  <si>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</si>
  <si>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</si>
  <si>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</si>
  <si>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</si>
  <si>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</si>
  <si>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</si>
  <si>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</si>
  <si>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</si>
  <si>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</si>
  <si>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</si>
  <si>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</si>
  <si>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</si>
  <si>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</si>
  <si>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</si>
  <si>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</si>
  <si>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</si>
  <si>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</si>
  <si>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</si>
  <si>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</si>
  <si>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</si>
  <si>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</si>
  <si>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</si>
  <si>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</si>
  <si>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</si>
  <si>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</si>
  <si>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</si>
  <si>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</si>
  <si>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</si>
  <si>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</si>
  <si>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</si>
  <si>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</si>
  <si>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</si>
  <si>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</si>
  <si>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</si>
  <si>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</si>
  <si>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</si>
  <si>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</si>
  <si>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</si>
  <si>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</si>
  <si>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</si>
  <si>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</si>
  <si>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</si>
  <si>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</si>
  <si>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</si>
  <si>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</si>
  <si>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</si>
  <si>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</si>
  <si>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</si>
  <si>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</si>
  <si>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</si>
  <si>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</si>
  <si>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</si>
  <si>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</si>
  <si>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</si>
  <si>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</si>
  <si>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</si>
  <si>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</si>
  <si>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</si>
  <si>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</si>
  <si>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</si>
  <si>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</si>
  <si>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</si>
  <si>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</si>
  <si>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</si>
  <si>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</si>
  <si>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</si>
  <si>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</si>
  <si>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</si>
  <si>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</si>
  <si>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</si>
  <si>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</si>
  <si>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</si>
  <si>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</si>
  <si>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</si>
  <si>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</si>
  <si>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</si>
  <si>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</si>
  <si>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</si>
  <si>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</si>
  <si>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</si>
  <si>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</si>
  <si>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</si>
  <si>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</si>
  <si>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</si>
  <si>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</si>
  <si>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</si>
  <si>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</si>
  <si>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</si>
  <si>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</si>
  <si>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</si>
  <si>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</si>
  <si>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</si>
  <si>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</si>
  <si>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</si>
  <si>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</si>
  <si>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</si>
  <si>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</si>
  <si>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</si>
  <si>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</si>
  <si>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</si>
  <si>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</si>
  <si>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</si>
  <si>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</si>
  <si>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</si>
  <si>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</si>
  <si>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</si>
  <si>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</si>
  <si>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</si>
  <si>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</si>
  <si>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</si>
  <si>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</si>
  <si>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</si>
  <si>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</si>
  <si>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</si>
  <si>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</si>
  <si>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</si>
  <si>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</si>
  <si>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</si>
  <si>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</si>
  <si>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</si>
  <si>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</si>
  <si>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</si>
  <si>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</si>
  <si>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</si>
  <si>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</si>
  <si>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</si>
  <si>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</si>
  <si>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</si>
  <si>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</si>
  <si>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</si>
  <si>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</si>
  <si>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</si>
  <si>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</si>
  <si>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</si>
  <si>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</si>
  <si>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</si>
  <si>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</si>
  <si>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</si>
  <si>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</si>
  <si>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</si>
  <si>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</si>
  <si>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</si>
  <si>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</si>
  <si>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</si>
  <si>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</si>
  <si>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</si>
  <si>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</si>
  <si>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</si>
  <si>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</si>
  <si>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</si>
  <si>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</si>
  <si>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</si>
  <si>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</si>
  <si>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</si>
  <si>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</si>
  <si>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</si>
  <si>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</si>
  <si>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</si>
  <si>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</si>
  <si>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</si>
  <si>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</si>
  <si>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</si>
  <si>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</si>
  <si>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</si>
  <si>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</si>
  <si>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</si>
  <si>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</si>
  <si>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</si>
  <si>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</si>
  <si>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</si>
  <si>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</si>
  <si>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</si>
  <si>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</si>
  <si>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</si>
  <si>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</si>
  <si>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</si>
  <si>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</si>
  <si>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</si>
  <si>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</si>
  <si>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</si>
  <si>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</si>
  <si>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</si>
  <si>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</si>
  <si>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</si>
  <si>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</si>
  <si>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</si>
  <si>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</si>
  <si>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</si>
  <si>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</si>
  <si>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</si>
  <si>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</si>
  <si>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</si>
  <si>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</si>
  <si>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</si>
  <si>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</si>
  <si>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</si>
  <si>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</si>
  <si>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</si>
  <si>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</si>
  <si>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</si>
  <si>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</si>
  <si>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</si>
  <si>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</si>
  <si>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</si>
  <si>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</si>
  <si>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</si>
  <si>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</si>
  <si>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</si>
  <si>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</si>
  <si>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</si>
  <si>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</si>
  <si>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</si>
  <si>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</si>
  <si>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</si>
  <si>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</si>
  <si>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</si>
  <si>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</si>
  <si>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</si>
  <si>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</si>
  <si>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</si>
  <si>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</si>
  <si>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</si>
  <si>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</si>
  <si>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</si>
  <si>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</si>
  <si>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</si>
  <si>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</si>
  <si>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</si>
  <si>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</si>
  <si>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</si>
  <si>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</si>
  <si>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</si>
  <si>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</si>
  <si>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</si>
  <si>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</si>
  <si>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</si>
  <si>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</si>
  <si>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</si>
  <si>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</si>
  <si>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</si>
  <si>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</si>
  <si>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</si>
  <si>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</si>
  <si>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</si>
  <si>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</si>
  <si>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</si>
  <si>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</si>
  <si>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</si>
  <si>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</si>
  <si>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</si>
  <si>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</si>
  <si>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</si>
  <si>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</si>
  <si>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</si>
  <si>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</si>
  <si>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</si>
  <si>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</si>
  <si>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</si>
  <si>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</si>
  <si>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</si>
  <si>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</si>
  <si>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</si>
  <si>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</si>
  <si>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</si>
  <si>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</si>
  <si>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</si>
  <si>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</si>
  <si>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</si>
  <si>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</si>
  <si>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</si>
  <si>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</si>
  <si>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</si>
  <si>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</si>
  <si>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</si>
  <si>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</si>
  <si>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</si>
  <si>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</si>
  <si>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</si>
  <si>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</si>
  <si>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</si>
  <si>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</si>
  <si>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</si>
  <si>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</si>
  <si>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</si>
  <si>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</si>
  <si>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</si>
  <si>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</si>
  <si>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</si>
  <si>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</si>
  <si>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</si>
  <si>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</si>
  <si>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</si>
  <si>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</si>
  <si>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</si>
  <si>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</si>
  <si>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</si>
  <si>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</si>
  <si>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</si>
  <si>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</si>
  <si>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</si>
  <si>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</si>
  <si>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</si>
  <si>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</si>
  <si>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</si>
  <si>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</si>
  <si>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</si>
  <si>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</si>
  <si>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</si>
  <si>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</si>
  <si>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</si>
  <si>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</si>
  <si>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</si>
  <si>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</si>
  <si>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</si>
  <si>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</si>
  <si>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</si>
  <si>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</si>
  <si>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</si>
  <si>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</si>
  <si>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</si>
  <si>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</si>
  <si>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</si>
  <si>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</si>
  <si>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</si>
  <si>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</si>
  <si>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</si>
  <si>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</si>
  <si>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</si>
  <si>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</si>
  <si>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</si>
  <si>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</si>
  <si>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</si>
  <si>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</si>
  <si>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</si>
  <si>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</si>
  <si>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</si>
  <si>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</si>
  <si>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</si>
  <si>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</si>
  <si>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</si>
  <si>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</si>
  <si>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</si>
  <si>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</si>
  <si>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</si>
  <si>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</si>
  <si>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</si>
  <si>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</si>
  <si>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</si>
  <si>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</si>
  <si>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</si>
  <si>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</si>
  <si>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</si>
  <si>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</si>
  <si>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</si>
  <si>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</si>
  <si>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</si>
  <si>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</si>
  <si>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</si>
  <si>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</si>
  <si>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</si>
  <si>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</si>
  <si>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</si>
  <si>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</si>
  <si>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</si>
  <si>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</si>
  <si>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</si>
  <si>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</si>
  <si>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</si>
  <si>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</si>
  <si>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</si>
  <si>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</si>
  <si>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</si>
  <si>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</si>
  <si>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</si>
  <si>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</si>
  <si>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</si>
  <si>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</si>
  <si>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</si>
  <si>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</si>
  <si>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</si>
  <si>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</si>
  <si>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</si>
  <si>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</si>
  <si>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</si>
  <si>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</si>
  <si>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</si>
  <si>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</si>
  <si>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</si>
  <si>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</si>
  <si>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</si>
  <si>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</si>
  <si>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</si>
  <si>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</si>
  <si>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</si>
  <si>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</si>
  <si>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</si>
  <si>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</si>
  <si>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</si>
  <si>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</si>
  <si>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</si>
  <si>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</si>
  <si>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</si>
  <si>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</si>
  <si>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</si>
  <si>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</si>
  <si>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</si>
  <si>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</si>
  <si>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</si>
  <si>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</si>
  <si>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</si>
  <si>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</si>
  <si>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</si>
  <si>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</si>
  <si>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</si>
  <si>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</si>
  <si>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</si>
  <si>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</si>
  <si>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</si>
  <si>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</si>
  <si>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</si>
  <si>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</si>
  <si>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</si>
  <si>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</si>
  <si>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</si>
  <si>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</si>
  <si>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</si>
  <si>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</si>
  <si>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</si>
  <si>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</si>
  <si>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</si>
  <si>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</si>
  <si>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</si>
  <si>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</si>
  <si>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</si>
  <si>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</si>
  <si>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</si>
  <si>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</si>
  <si>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</si>
  <si>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</si>
  <si>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</si>
  <si>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</si>
  <si>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</si>
  <si>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</si>
  <si>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</si>
  <si>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</si>
  <si>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</si>
  <si>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</si>
  <si>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</si>
  <si>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</si>
  <si>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</si>
  <si>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</si>
  <si>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</si>
  <si>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</si>
  <si>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</si>
  <si>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</si>
  <si>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</si>
  <si>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</si>
  <si>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</si>
  <si>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</si>
  <si>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</si>
  <si>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</si>
  <si>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</si>
  <si>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</si>
  <si>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</si>
  <si>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</si>
  <si>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</si>
  <si>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</si>
  <si>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</si>
  <si>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</si>
  <si>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</si>
  <si>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</si>
  <si>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</si>
  <si>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</si>
  <si>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</si>
  <si>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</si>
  <si>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</si>
  <si>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</si>
  <si>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</si>
  <si>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</si>
  <si>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</si>
  <si>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</si>
  <si>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</si>
  <si>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</si>
  <si>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</si>
  <si>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</si>
  <si>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</si>
  <si>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</si>
  <si>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</si>
  <si>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</si>
  <si>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</si>
  <si>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</si>
  <si>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</si>
  <si>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</si>
  <si>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</si>
  <si>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</si>
  <si>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</si>
  <si>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</si>
  <si>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</si>
  <si>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</si>
  <si>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</si>
  <si>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</si>
  <si>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</si>
  <si>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</si>
  <si>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</si>
  <si>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</si>
  <si>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</si>
  <si>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</si>
  <si>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</si>
  <si>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</si>
  <si>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</si>
  <si>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</si>
  <si>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</si>
  <si>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36007</t>
  </si>
  <si>
    <t>INGELMUNSTER</t>
  </si>
  <si>
    <t>Eandis (januari 2018); Infrax (juni 2018)</t>
  </si>
  <si>
    <t>MOW (september 2017)</t>
  </si>
  <si>
    <t>referentietaak LNE (2017); Jaarverslag De Lijn (2016)</t>
  </si>
  <si>
    <t>VEA (april 2018)</t>
  </si>
  <si>
    <t>VEA (januari 2017)</t>
  </si>
  <si>
    <t>VEA (juni 2018)</t>
  </si>
  <si>
    <t>FV Franky &amp; Els Galle Vanackere</t>
  </si>
  <si>
    <t>Veldstraat 1 A, 8770 Ingelmunster</t>
  </si>
  <si>
    <t>WKK-0323 Franky Galle</t>
  </si>
  <si>
    <t>interne verbrandingsmotor</t>
  </si>
  <si>
    <t>WKK interne verbrandinsgmotor (gas)</t>
  </si>
  <si>
    <t>GASELWEST</t>
  </si>
  <si>
    <t>Neegro bvba</t>
  </si>
  <si>
    <t>Oostrozebekestraat 287 a, 8770 Ingelmunster</t>
  </si>
  <si>
    <t>WKK-0363 Neegro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</si>
</sst>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88272.764938262844</c:v>
                </c:pt>
                <c:pt idx="1">
                  <c:v>27040.710714962905</c:v>
                </c:pt>
                <c:pt idx="2">
                  <c:v>807.62599999999998</c:v>
                </c:pt>
                <c:pt idx="3">
                  <c:v>60845.182100716025</c:v>
                </c:pt>
                <c:pt idx="4">
                  <c:v>42562.654206752617</c:v>
                </c:pt>
                <c:pt idx="5">
                  <c:v>64036.560339123869</c:v>
                </c:pt>
                <c:pt idx="6">
                  <c:v>612.96001382397651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77248"/>
        <c:axId val="176678784"/>
      </c:barChart>
      <c:catAx>
        <c:axId val="176677248"/>
        <c:scaling>
          <c:orientation val="minMax"/>
        </c:scaling>
        <c:axPos val="b"/>
        <c:numFmt formatCode="General" sourceLinked="0"/>
        <c:tickLblPos val="nextTo"/>
        <c:crossAx val="176678784"/>
        <c:crosses val="autoZero"/>
        <c:auto val="1"/>
        <c:lblAlgn val="ctr"/>
        <c:lblOffset val="100"/>
      </c:catAx>
      <c:valAx>
        <c:axId val="176678784"/>
        <c:scaling>
          <c:orientation val="minMax"/>
        </c:scaling>
        <c:axPos val="l"/>
        <c:majorGridlines>
          <c:spPr>
            <a:ln>
              <a:noFill/>
            </a:ln>
          </c:spPr>
        </c:majorGridlines>
        <c:numFmt formatCode="#,##0" sourceLinked="1"/>
        <c:tickLblPos val="nextTo"/>
        <c:crossAx val="1766772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88272.764938262844</c:v>
                </c:pt>
                <c:pt idx="1">
                  <c:v>27040.710714962905</c:v>
                </c:pt>
                <c:pt idx="2">
                  <c:v>807.62599999999998</c:v>
                </c:pt>
                <c:pt idx="3">
                  <c:v>60845.182100716025</c:v>
                </c:pt>
                <c:pt idx="4">
                  <c:v>42562.654206752617</c:v>
                </c:pt>
                <c:pt idx="5">
                  <c:v>64036.560339123869</c:v>
                </c:pt>
                <c:pt idx="6">
                  <c:v>612.96001382397651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15943.533231352949</c:v>
                </c:pt>
                <c:pt idx="2">
                  <c:v>5525.6723744352657</c:v>
                </c:pt>
                <c:pt idx="3">
                  <c:v>171.17691821025031</c:v>
                </c:pt>
                <c:pt idx="4">
                  <c:v>14493.038557259193</c:v>
                </c:pt>
                <c:pt idx="5">
                  <c:v>8397.9778961385528</c:v>
                </c:pt>
                <c:pt idx="6">
                  <c:v>16040.52681654771</c:v>
                </c:pt>
                <c:pt idx="7">
                  <c:v>154.86469280187109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43744"/>
        <c:axId val="183361920"/>
      </c:barChart>
      <c:catAx>
        <c:axId val="183343744"/>
        <c:scaling>
          <c:orientation val="minMax"/>
        </c:scaling>
        <c:axPos val="b"/>
        <c:numFmt formatCode="General" sourceLinked="0"/>
        <c:tickLblPos val="nextTo"/>
        <c:crossAx val="183361920"/>
        <c:crosses val="autoZero"/>
        <c:auto val="1"/>
        <c:lblAlgn val="ctr"/>
        <c:lblOffset val="100"/>
      </c:catAx>
      <c:valAx>
        <c:axId val="183361920"/>
        <c:scaling>
          <c:orientation val="minMax"/>
        </c:scaling>
        <c:axPos val="l"/>
        <c:majorGridlines>
          <c:spPr>
            <a:ln>
              <a:noFill/>
            </a:ln>
          </c:spPr>
        </c:majorGridlines>
        <c:numFmt formatCode="#,##0" sourceLinked="1"/>
        <c:tickLblPos val="nextTo"/>
        <c:crossAx val="1833437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15943.533231352949</c:v>
                </c:pt>
                <c:pt idx="2">
                  <c:v>5525.6723744352657</c:v>
                </c:pt>
                <c:pt idx="3">
                  <c:v>171.17691821025031</c:v>
                </c:pt>
                <c:pt idx="4">
                  <c:v>14493.038557259193</c:v>
                </c:pt>
                <c:pt idx="5">
                  <c:v>8397.9778961385528</c:v>
                </c:pt>
                <c:pt idx="6">
                  <c:v>16040.52681654771</c:v>
                </c:pt>
                <c:pt idx="7">
                  <c:v>154.86469280187109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36007</v>
      </c>
      <c r="B6" s="415"/>
      <c r="C6" s="416"/>
    </row>
    <row r="7" spans="1:7" s="413" customFormat="1" ht="15.75" customHeight="1">
      <c r="A7" s="417" t="str">
        <f>txtMunicipality</f>
        <v>INGELMUNSTER</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0.21195072745336369</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0.21195072745336369</v>
      </c>
      <c r="C29" s="525">
        <f ca="1">'EF ele_warmte'!B22</f>
        <v>0.23764705882352941</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4496</v>
      </c>
      <c r="C9" s="342">
        <v>4485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748.87</v>
      </c>
    </row>
    <row r="15" spans="1:6">
      <c r="A15" s="348" t="s">
        <v>184</v>
      </c>
      <c r="B15" s="334">
        <v>575</v>
      </c>
    </row>
    <row r="16" spans="1:6">
      <c r="A16" s="348" t="s">
        <v>6</v>
      </c>
      <c r="B16" s="334">
        <v>108</v>
      </c>
    </row>
    <row r="17" spans="1:6">
      <c r="A17" s="348" t="s">
        <v>7</v>
      </c>
      <c r="B17" s="334">
        <v>89</v>
      </c>
    </row>
    <row r="18" spans="1:6">
      <c r="A18" s="348" t="s">
        <v>8</v>
      </c>
      <c r="B18" s="334">
        <v>161</v>
      </c>
    </row>
    <row r="19" spans="1:6">
      <c r="A19" s="348" t="s">
        <v>9</v>
      </c>
      <c r="B19" s="334">
        <v>169</v>
      </c>
    </row>
    <row r="20" spans="1:6">
      <c r="A20" s="348" t="s">
        <v>10</v>
      </c>
      <c r="B20" s="334">
        <v>95</v>
      </c>
    </row>
    <row r="21" spans="1:6">
      <c r="A21" s="348" t="s">
        <v>11</v>
      </c>
      <c r="B21" s="334">
        <v>1348</v>
      </c>
    </row>
    <row r="22" spans="1:6">
      <c r="A22" s="348" t="s">
        <v>12</v>
      </c>
      <c r="B22" s="334">
        <v>6786</v>
      </c>
    </row>
    <row r="23" spans="1:6">
      <c r="A23" s="348" t="s">
        <v>13</v>
      </c>
      <c r="B23" s="334">
        <v>65</v>
      </c>
    </row>
    <row r="24" spans="1:6">
      <c r="A24" s="348" t="s">
        <v>14</v>
      </c>
      <c r="B24" s="334">
        <v>3</v>
      </c>
    </row>
    <row r="25" spans="1:6">
      <c r="A25" s="348" t="s">
        <v>15</v>
      </c>
      <c r="B25" s="334">
        <v>396</v>
      </c>
    </row>
    <row r="26" spans="1:6">
      <c r="A26" s="348" t="s">
        <v>16</v>
      </c>
      <c r="B26" s="334">
        <v>18</v>
      </c>
    </row>
    <row r="27" spans="1:6">
      <c r="A27" s="348" t="s">
        <v>17</v>
      </c>
      <c r="B27" s="334">
        <v>0</v>
      </c>
    </row>
    <row r="28" spans="1:6" s="356" customFormat="1">
      <c r="A28" s="355" t="s">
        <v>18</v>
      </c>
      <c r="B28" s="355">
        <v>100226</v>
      </c>
    </row>
    <row r="29" spans="1:6">
      <c r="A29" s="355" t="s">
        <v>744</v>
      </c>
      <c r="B29" s="355">
        <v>67</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3496.8723514536</v>
      </c>
    </row>
    <row r="37" spans="1:6">
      <c r="A37" s="348" t="s">
        <v>25</v>
      </c>
      <c r="B37" s="348" t="s">
        <v>28</v>
      </c>
      <c r="C37" s="334">
        <v>0</v>
      </c>
      <c r="D37" s="334">
        <v>0</v>
      </c>
      <c r="E37" s="334">
        <v>0</v>
      </c>
      <c r="F37" s="334">
        <v>0</v>
      </c>
    </row>
    <row r="38" spans="1:6">
      <c r="A38" s="348" t="s">
        <v>25</v>
      </c>
      <c r="B38" s="348" t="s">
        <v>29</v>
      </c>
      <c r="C38" s="334">
        <v>0</v>
      </c>
      <c r="D38" s="334">
        <v>0</v>
      </c>
      <c r="E38" s="334">
        <v>3</v>
      </c>
      <c r="F38" s="334">
        <v>374048.91852680303</v>
      </c>
    </row>
    <row r="39" spans="1:6">
      <c r="A39" s="348" t="s">
        <v>30</v>
      </c>
      <c r="B39" s="348" t="s">
        <v>31</v>
      </c>
      <c r="C39" s="334">
        <v>3078</v>
      </c>
      <c r="D39" s="334">
        <v>46367778.001684502</v>
      </c>
      <c r="E39" s="334">
        <v>4260</v>
      </c>
      <c r="F39" s="334">
        <v>14622093.550789099</v>
      </c>
    </row>
    <row r="40" spans="1:6">
      <c r="A40" s="348" t="s">
        <v>30</v>
      </c>
      <c r="B40" s="348" t="s">
        <v>29</v>
      </c>
      <c r="C40" s="334">
        <v>1</v>
      </c>
      <c r="D40" s="334">
        <v>36158.3301313388</v>
      </c>
      <c r="E40" s="334">
        <v>1</v>
      </c>
      <c r="F40" s="334">
        <v>3424.8389485654998</v>
      </c>
    </row>
    <row r="41" spans="1:6">
      <c r="A41" s="348" t="s">
        <v>32</v>
      </c>
      <c r="B41" s="348" t="s">
        <v>33</v>
      </c>
      <c r="C41" s="334">
        <v>78</v>
      </c>
      <c r="D41" s="334">
        <v>1799595.84096261</v>
      </c>
      <c r="E41" s="334">
        <v>174</v>
      </c>
      <c r="F41" s="334">
        <v>2344489.7187496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12</v>
      </c>
      <c r="F44" s="334">
        <v>271273.58491194702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39</v>
      </c>
      <c r="D48" s="334">
        <v>14388064.012419799</v>
      </c>
      <c r="E48" s="334">
        <v>52</v>
      </c>
      <c r="F48" s="334">
        <v>10455043.018025599</v>
      </c>
    </row>
    <row r="49" spans="1:6">
      <c r="A49" s="348" t="s">
        <v>32</v>
      </c>
      <c r="B49" s="348" t="s">
        <v>40</v>
      </c>
      <c r="C49" s="334">
        <v>0</v>
      </c>
      <c r="D49" s="334">
        <v>0</v>
      </c>
      <c r="E49" s="334">
        <v>20</v>
      </c>
      <c r="F49" s="334">
        <v>790567.70373011904</v>
      </c>
    </row>
    <row r="50" spans="1:6">
      <c r="A50" s="348" t="s">
        <v>32</v>
      </c>
      <c r="B50" s="348" t="s">
        <v>41</v>
      </c>
      <c r="C50" s="334">
        <v>3</v>
      </c>
      <c r="D50" s="334">
        <v>315888.58846062998</v>
      </c>
      <c r="E50" s="334">
        <v>10</v>
      </c>
      <c r="F50" s="334">
        <v>4655577.4457307598</v>
      </c>
    </row>
    <row r="51" spans="1:6">
      <c r="A51" s="348" t="s">
        <v>42</v>
      </c>
      <c r="B51" s="348" t="s">
        <v>43</v>
      </c>
      <c r="C51" s="334">
        <v>12</v>
      </c>
      <c r="D51" s="334">
        <v>59483204.051523797</v>
      </c>
      <c r="E51" s="334">
        <v>63</v>
      </c>
      <c r="F51" s="334">
        <v>3336336.32650775</v>
      </c>
    </row>
    <row r="52" spans="1:6">
      <c r="A52" s="348" t="s">
        <v>42</v>
      </c>
      <c r="B52" s="348" t="s">
        <v>29</v>
      </c>
      <c r="C52" s="334">
        <v>4</v>
      </c>
      <c r="D52" s="334">
        <v>21698846.213741101</v>
      </c>
      <c r="E52" s="334">
        <v>12</v>
      </c>
      <c r="F52" s="334">
        <v>229404.161542855</v>
      </c>
    </row>
    <row r="53" spans="1:6">
      <c r="A53" s="348" t="s">
        <v>44</v>
      </c>
      <c r="B53" s="348" t="s">
        <v>45</v>
      </c>
      <c r="C53" s="334">
        <v>75</v>
      </c>
      <c r="D53" s="334">
        <v>1831629.72603498</v>
      </c>
      <c r="E53" s="334">
        <v>138</v>
      </c>
      <c r="F53" s="334">
        <v>753480.68586828595</v>
      </c>
    </row>
    <row r="54" spans="1:6">
      <c r="A54" s="348" t="s">
        <v>46</v>
      </c>
      <c r="B54" s="348" t="s">
        <v>47</v>
      </c>
      <c r="C54" s="334">
        <v>0</v>
      </c>
      <c r="D54" s="334">
        <v>0</v>
      </c>
      <c r="E54" s="334">
        <v>1</v>
      </c>
      <c r="F54" s="334">
        <v>807626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18</v>
      </c>
      <c r="D57" s="334">
        <v>353567.76787503302</v>
      </c>
      <c r="E57" s="334">
        <v>38</v>
      </c>
      <c r="F57" s="334">
        <v>527567.09607205202</v>
      </c>
    </row>
    <row r="58" spans="1:6">
      <c r="A58" s="348" t="s">
        <v>49</v>
      </c>
      <c r="B58" s="348" t="s">
        <v>51</v>
      </c>
      <c r="C58" s="334">
        <v>18</v>
      </c>
      <c r="D58" s="334">
        <v>2287770.8183190199</v>
      </c>
      <c r="E58" s="334">
        <v>29</v>
      </c>
      <c r="F58" s="334">
        <v>940887.52433888102</v>
      </c>
    </row>
    <row r="59" spans="1:6">
      <c r="A59" s="348" t="s">
        <v>49</v>
      </c>
      <c r="B59" s="348" t="s">
        <v>52</v>
      </c>
      <c r="C59" s="334">
        <v>59</v>
      </c>
      <c r="D59" s="334">
        <v>2212317.6887875502</v>
      </c>
      <c r="E59" s="334">
        <v>135</v>
      </c>
      <c r="F59" s="334">
        <v>4319148.1459016101</v>
      </c>
    </row>
    <row r="60" spans="1:6">
      <c r="A60" s="348" t="s">
        <v>49</v>
      </c>
      <c r="B60" s="348" t="s">
        <v>53</v>
      </c>
      <c r="C60" s="334">
        <v>34</v>
      </c>
      <c r="D60" s="334">
        <v>1188933.5707259299</v>
      </c>
      <c r="E60" s="334">
        <v>46</v>
      </c>
      <c r="F60" s="334">
        <v>709761.65885474102</v>
      </c>
    </row>
    <row r="61" spans="1:6">
      <c r="A61" s="348" t="s">
        <v>49</v>
      </c>
      <c r="B61" s="348" t="s">
        <v>54</v>
      </c>
      <c r="C61" s="334">
        <v>91</v>
      </c>
      <c r="D61" s="334">
        <v>3365182.6831427002</v>
      </c>
      <c r="E61" s="334">
        <v>159</v>
      </c>
      <c r="F61" s="334">
        <v>1580681.7518448799</v>
      </c>
    </row>
    <row r="62" spans="1:6">
      <c r="A62" s="348" t="s">
        <v>49</v>
      </c>
      <c r="B62" s="348" t="s">
        <v>55</v>
      </c>
      <c r="C62" s="334">
        <v>6</v>
      </c>
      <c r="D62" s="334">
        <v>353047.239443083</v>
      </c>
      <c r="E62" s="334">
        <v>6</v>
      </c>
      <c r="F62" s="334">
        <v>68231.300185759799</v>
      </c>
    </row>
    <row r="63" spans="1:6">
      <c r="A63" s="348" t="s">
        <v>49</v>
      </c>
      <c r="B63" s="348" t="s">
        <v>29</v>
      </c>
      <c r="C63" s="334">
        <v>80</v>
      </c>
      <c r="D63" s="334">
        <v>3653955.4553263602</v>
      </c>
      <c r="E63" s="334">
        <v>106</v>
      </c>
      <c r="F63" s="334">
        <v>3562745.0956617901</v>
      </c>
    </row>
    <row r="64" spans="1:6">
      <c r="A64" s="348" t="s">
        <v>56</v>
      </c>
      <c r="B64" s="348" t="s">
        <v>57</v>
      </c>
      <c r="C64" s="334">
        <v>0</v>
      </c>
      <c r="D64" s="334">
        <v>0</v>
      </c>
      <c r="E64" s="334">
        <v>0</v>
      </c>
      <c r="F64" s="334">
        <v>0</v>
      </c>
    </row>
    <row r="65" spans="1:6">
      <c r="A65" s="348" t="s">
        <v>56</v>
      </c>
      <c r="B65" s="348" t="s">
        <v>29</v>
      </c>
      <c r="C65" s="334">
        <v>1</v>
      </c>
      <c r="D65" s="334">
        <v>9051.1495033829997</v>
      </c>
      <c r="E65" s="334">
        <v>0</v>
      </c>
      <c r="F65" s="334">
        <v>0</v>
      </c>
    </row>
    <row r="66" spans="1:6">
      <c r="A66" s="348" t="s">
        <v>56</v>
      </c>
      <c r="B66" s="348" t="s">
        <v>58</v>
      </c>
      <c r="C66" s="334">
        <v>0</v>
      </c>
      <c r="D66" s="334">
        <v>0</v>
      </c>
      <c r="E66" s="334">
        <v>10</v>
      </c>
      <c r="F66" s="334">
        <v>159658.04104685699</v>
      </c>
    </row>
    <row r="67" spans="1:6">
      <c r="A67" s="355" t="s">
        <v>56</v>
      </c>
      <c r="B67" s="355" t="s">
        <v>59</v>
      </c>
      <c r="C67" s="334">
        <v>0</v>
      </c>
      <c r="D67" s="334">
        <v>0</v>
      </c>
      <c r="E67" s="334">
        <v>0</v>
      </c>
      <c r="F67" s="334">
        <v>0</v>
      </c>
    </row>
    <row r="68" spans="1:6">
      <c r="A68" s="341" t="s">
        <v>56</v>
      </c>
      <c r="B68" s="341" t="s">
        <v>60</v>
      </c>
      <c r="C68" s="334">
        <v>5</v>
      </c>
      <c r="D68" s="334">
        <v>188871.663586318</v>
      </c>
      <c r="E68" s="334">
        <v>9</v>
      </c>
      <c r="F68" s="334">
        <v>75343.858510002203</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54858689</v>
      </c>
      <c r="E73" s="475">
        <v>39153589.459609307</v>
      </c>
    </row>
    <row r="74" spans="1:6">
      <c r="A74" s="348" t="s">
        <v>64</v>
      </c>
      <c r="B74" s="348" t="s">
        <v>657</v>
      </c>
      <c r="C74" s="1295" t="s">
        <v>659</v>
      </c>
      <c r="D74" s="475">
        <v>7121335.5</v>
      </c>
      <c r="E74" s="475">
        <v>6397176.8835707316</v>
      </c>
    </row>
    <row r="75" spans="1:6">
      <c r="A75" s="348" t="s">
        <v>65</v>
      </c>
      <c r="B75" s="348" t="s">
        <v>656</v>
      </c>
      <c r="C75" s="1295" t="s">
        <v>660</v>
      </c>
      <c r="D75" s="475">
        <v>10560350</v>
      </c>
      <c r="E75" s="475">
        <v>7347379.3179310625</v>
      </c>
    </row>
    <row r="76" spans="1:6">
      <c r="A76" s="348" t="s">
        <v>65</v>
      </c>
      <c r="B76" s="348" t="s">
        <v>657</v>
      </c>
      <c r="C76" s="1295" t="s">
        <v>661</v>
      </c>
      <c r="D76" s="475">
        <v>764030.5</v>
      </c>
      <c r="E76" s="475">
        <v>685258.53610233951</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166245</v>
      </c>
      <c r="C83" s="475">
        <v>166105.7196016942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2479.3019317789576</v>
      </c>
    </row>
    <row r="92" spans="1:6">
      <c r="A92" s="341" t="s">
        <v>69</v>
      </c>
      <c r="B92" s="342">
        <v>1326.6034709741293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2052</v>
      </c>
    </row>
    <row r="98" spans="1:6">
      <c r="A98" s="348" t="s">
        <v>72</v>
      </c>
      <c r="B98" s="334">
        <v>2</v>
      </c>
    </row>
    <row r="99" spans="1:6">
      <c r="A99" s="348" t="s">
        <v>73</v>
      </c>
      <c r="B99" s="334">
        <v>59</v>
      </c>
    </row>
    <row r="100" spans="1:6">
      <c r="A100" s="348" t="s">
        <v>74</v>
      </c>
      <c r="B100" s="334">
        <v>288</v>
      </c>
    </row>
    <row r="101" spans="1:6">
      <c r="A101" s="348" t="s">
        <v>75</v>
      </c>
      <c r="B101" s="334">
        <v>90</v>
      </c>
    </row>
    <row r="102" spans="1:6">
      <c r="A102" s="348" t="s">
        <v>76</v>
      </c>
      <c r="B102" s="334">
        <v>91</v>
      </c>
    </row>
    <row r="103" spans="1:6">
      <c r="A103" s="348" t="s">
        <v>77</v>
      </c>
      <c r="B103" s="334">
        <v>141</v>
      </c>
    </row>
    <row r="104" spans="1:6">
      <c r="A104" s="348" t="s">
        <v>78</v>
      </c>
      <c r="B104" s="334">
        <v>1324</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143</v>
      </c>
    </row>
    <row r="130" spans="1:6">
      <c r="A130" s="348" t="s">
        <v>295</v>
      </c>
      <c r="B130" s="334">
        <v>3</v>
      </c>
    </row>
    <row r="131" spans="1:6">
      <c r="A131" s="348" t="s">
        <v>296</v>
      </c>
      <c r="B131" s="334">
        <v>7</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52483.377606149923</v>
      </c>
      <c r="C3" s="43" t="s">
        <v>170</v>
      </c>
      <c r="D3" s="43"/>
      <c r="E3" s="154"/>
      <c r="F3" s="43"/>
      <c r="G3" s="43"/>
      <c r="H3" s="43"/>
      <c r="I3" s="43"/>
      <c r="J3" s="43"/>
      <c r="K3" s="96"/>
    </row>
    <row r="4" spans="1:11">
      <c r="A4" s="383" t="s">
        <v>171</v>
      </c>
      <c r="B4" s="49">
        <f>IF(ISERROR('SEAP template'!B78+'SEAP template'!C78),0,'SEAP template'!B78+'SEAP template'!C78)</f>
        <v>25801.905402753087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5227.2847058823536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0.21195072745336369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7467.5495798319334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31422.857142857145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807.62599999999998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807.62599999999998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0.21195072745336369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171.17691821025031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14625.518389737665</v>
      </c>
      <c r="C5" s="17">
        <f>IF(ISERROR('Eigen informatie GS &amp; warmtenet'!B57),0,'Eigen informatie GS &amp; warmtenet'!B57)</f>
        <v>0</v>
      </c>
      <c r="D5" s="30">
        <f>(SUM(HH_hh_gas_kWh,HH_rest_gas_kWh)/1000)*0.902</f>
        <v>41856.350571297888</v>
      </c>
      <c r="E5" s="17">
        <f>B46*B57</f>
        <v>2741.4510097064699</v>
      </c>
      <c r="F5" s="17">
        <f>B51*B62</f>
        <v>10347.548170605047</v>
      </c>
      <c r="G5" s="18"/>
      <c r="H5" s="17"/>
      <c r="I5" s="17"/>
      <c r="J5" s="17">
        <f>B50*B61+C50*C61</f>
        <v>1350.4705228568716</v>
      </c>
      <c r="K5" s="17"/>
      <c r="L5" s="17"/>
      <c r="M5" s="17"/>
      <c r="N5" s="17">
        <f>B48*B59+C48*C59</f>
        <v>14251.601008946609</v>
      </c>
      <c r="O5" s="17">
        <f>B69*B70*B71</f>
        <v>239.19000000000003</v>
      </c>
      <c r="P5" s="17">
        <f>B77*B78*B79/1000-B77*B78*B79/1000/B80</f>
        <v>381.33333333333337</v>
      </c>
    </row>
    <row r="6" spans="1:16">
      <c r="A6" s="16" t="s">
        <v>621</v>
      </c>
      <c r="B6" s="788">
        <f>kWh_PV_kleiner_dan_10kW</f>
        <v>2479.3019317789576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17104.820321516621</v>
      </c>
      <c r="C8" s="21">
        <f>C5</f>
        <v>0</v>
      </c>
      <c r="D8" s="21">
        <f>D5</f>
        <v>41856.350571297888</v>
      </c>
      <c r="E8" s="21">
        <f>E5</f>
        <v>2741.4510097064699</v>
      </c>
      <c r="F8" s="21">
        <f>F5</f>
        <v>10347.548170605047</v>
      </c>
      <c r="G8" s="21"/>
      <c r="H8" s="21"/>
      <c r="I8" s="21"/>
      <c r="J8" s="21">
        <f>J5</f>
        <v>1350.4705228568716</v>
      </c>
      <c r="K8" s="21"/>
      <c r="L8" s="21">
        <f>L5</f>
        <v>0</v>
      </c>
      <c r="M8" s="21">
        <f>M5</f>
        <v>0</v>
      </c>
      <c r="N8" s="21">
        <f>N5</f>
        <v>14251.601008946609</v>
      </c>
      <c r="O8" s="21">
        <f>O5</f>
        <v>239.19000000000003</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0.21195072745336369</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3625.3791101045258</v>
      </c>
      <c r="C12" s="23">
        <f ca="1">C10*C8</f>
        <v>0</v>
      </c>
      <c r="D12" s="23">
        <f>D8*D10</f>
        <v>8454.9828154021743</v>
      </c>
      <c r="E12" s="23">
        <f>E10*E8</f>
        <v>622.30937920336874</v>
      </c>
      <c r="F12" s="23">
        <f>F10*F8</f>
        <v>2762.7953615515476</v>
      </c>
      <c r="G12" s="23"/>
      <c r="H12" s="23"/>
      <c r="I12" s="23"/>
      <c r="J12" s="23">
        <f>J10*J8</f>
        <v>478.06656509133256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2052</v>
      </c>
      <c r="C18" s="166" t="s">
        <v>111</v>
      </c>
      <c r="D18" s="228"/>
      <c r="E18" s="15"/>
    </row>
    <row r="19" spans="1:7">
      <c r="A19" s="171" t="s">
        <v>72</v>
      </c>
      <c r="B19" s="37">
        <f>aantalw2001_ander</f>
        <v>2</v>
      </c>
      <c r="C19" s="166" t="s">
        <v>111</v>
      </c>
      <c r="D19" s="229"/>
      <c r="E19" s="15"/>
    </row>
    <row r="20" spans="1:7">
      <c r="A20" s="171" t="s">
        <v>73</v>
      </c>
      <c r="B20" s="37">
        <f>aantalw2001_propaan</f>
        <v>59</v>
      </c>
      <c r="C20" s="167">
        <f>IF(ISERROR(B20/SUM($B$20,$B$21,$B$22)*100),0,B20/SUM($B$20,$B$21,$B$22)*100)</f>
        <v>13.501144164759726</v>
      </c>
      <c r="D20" s="229"/>
      <c r="E20" s="15"/>
    </row>
    <row r="21" spans="1:7">
      <c r="A21" s="171" t="s">
        <v>74</v>
      </c>
      <c r="B21" s="37">
        <f>aantalw2001_elektriciteit</f>
        <v>288</v>
      </c>
      <c r="C21" s="167">
        <f>IF(ISERROR(B21/SUM($B$20,$B$21,$B$22)*100),0,B21/SUM($B$20,$B$21,$B$22)*100)</f>
        <v>65.903890160183067</v>
      </c>
      <c r="D21" s="229"/>
      <c r="E21" s="15"/>
    </row>
    <row r="22" spans="1:7">
      <c r="A22" s="171" t="s">
        <v>75</v>
      </c>
      <c r="B22" s="37">
        <f>aantalw2001_hout</f>
        <v>90</v>
      </c>
      <c r="C22" s="167">
        <f>IF(ISERROR(B22/SUM($B$20,$B$21,$B$22)*100),0,B22/SUM($B$20,$B$21,$B$22)*100)</f>
        <v>20.59496567505721</v>
      </c>
      <c r="D22" s="229"/>
      <c r="E22" s="15"/>
    </row>
    <row r="23" spans="1:7">
      <c r="A23" s="171" t="s">
        <v>76</v>
      </c>
      <c r="B23" s="37">
        <f>aantalw2001_niet_gespec</f>
        <v>91</v>
      </c>
      <c r="C23" s="166" t="s">
        <v>111</v>
      </c>
      <c r="D23" s="228"/>
      <c r="E23" s="15"/>
    </row>
    <row r="24" spans="1:7">
      <c r="A24" s="171" t="s">
        <v>77</v>
      </c>
      <c r="B24" s="37">
        <f>aantalw2001_steenkool</f>
        <v>141</v>
      </c>
      <c r="C24" s="166" t="s">
        <v>111</v>
      </c>
      <c r="D24" s="229"/>
      <c r="E24" s="15"/>
    </row>
    <row r="25" spans="1:7">
      <c r="A25" s="171" t="s">
        <v>78</v>
      </c>
      <c r="B25" s="37">
        <f>aantalw2001_stookolie</f>
        <v>1324</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4496</v>
      </c>
      <c r="C28" s="36"/>
      <c r="D28" s="228"/>
    </row>
    <row r="29" spans="1:7" s="15" customFormat="1">
      <c r="A29" s="230" t="s">
        <v>794</v>
      </c>
      <c r="B29" s="37">
        <f>SUM(HH_hh_gas_aantal,HH_rest_gas_aantal)</f>
        <v>3079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3079</v>
      </c>
      <c r="C32" s="167">
        <f>IF(ISERROR(B32/SUM($B$32,$B$34,$B$35,$B$36,$B$38,$B$39)*100),0,B32/SUM($B$32,$B$34,$B$35,$B$36,$B$38,$B$39)*100)</f>
        <v>68.789097408400352</v>
      </c>
      <c r="D32" s="233"/>
      <c r="G32" s="15"/>
    </row>
    <row r="33" spans="1:7">
      <c r="A33" s="171" t="s">
        <v>72</v>
      </c>
      <c r="B33" s="34" t="s">
        <v>111</v>
      </c>
      <c r="C33" s="167"/>
      <c r="D33" s="233"/>
      <c r="G33" s="15"/>
    </row>
    <row r="34" spans="1:7">
      <c r="A34" s="171" t="s">
        <v>73</v>
      </c>
      <c r="B34" s="33">
        <f>IF((($B$28-$B$32-$B$39-$B$77-$B$38)*C20/100)&lt;0,0,($B$28-$B$32-$B$39-$B$77-$B$38)*C20/100)</f>
        <v>129.47597254004577</v>
      </c>
      <c r="C34" s="167">
        <f>IF(ISERROR(B34/SUM($B$32,$B$34,$B$35,$B$36,$B$38,$B$39)*100),0,B34/SUM($B$32,$B$34,$B$35,$B$36,$B$38,$B$39)*100)</f>
        <v>2.8926714151037931</v>
      </c>
      <c r="D34" s="233"/>
      <c r="G34" s="15"/>
    </row>
    <row r="35" spans="1:7">
      <c r="A35" s="171" t="s">
        <v>74</v>
      </c>
      <c r="B35" s="33">
        <f>IF((($B$28-$B$32-$B$39-$B$77-$B$38)*C21/100)&lt;0,0,($B$28-$B$32-$B$39-$B$77-$B$38)*C21/100)</f>
        <v>632.01830663615567</v>
      </c>
      <c r="C35" s="167">
        <f>IF(ISERROR(B35/SUM($B$32,$B$34,$B$35,$B$36,$B$38,$B$39)*100),0,B35/SUM($B$32,$B$34,$B$35,$B$36,$B$38,$B$39)*100)</f>
        <v>14.120158772032074</v>
      </c>
      <c r="D35" s="233"/>
      <c r="G35" s="15"/>
    </row>
    <row r="36" spans="1:7">
      <c r="A36" s="171" t="s">
        <v>75</v>
      </c>
      <c r="B36" s="33">
        <f>IF((($B$28-$B$32-$B$39-$B$77-$B$38)*C22/100)&lt;0,0,($B$28-$B$32-$B$39-$B$77-$B$38)*C22/100)</f>
        <v>197.50572082379867</v>
      </c>
      <c r="C36" s="167">
        <f>IF(ISERROR(B36/SUM($B$32,$B$34,$B$35,$B$36,$B$38,$B$39)*100),0,B36/SUM($B$32,$B$34,$B$35,$B$36,$B$38,$B$39)*100)</f>
        <v>4.4125496162600237</v>
      </c>
      <c r="D36" s="233"/>
      <c r="G36" s="15"/>
    </row>
    <row r="37" spans="1:7">
      <c r="A37" s="171" t="s">
        <v>76</v>
      </c>
      <c r="B37" s="34" t="s">
        <v>111</v>
      </c>
      <c r="C37" s="167"/>
      <c r="D37" s="173"/>
      <c r="G37" s="15"/>
    </row>
    <row r="38" spans="1:7">
      <c r="A38" s="171" t="s">
        <v>77</v>
      </c>
      <c r="B38" s="33">
        <f>IF((B24-(B29-B18)*0.1)&lt;0,0,B24-(B29-B18)*0.1)</f>
        <v>38.299999999999997</v>
      </c>
      <c r="C38" s="167">
        <f>IF(ISERROR(B38/SUM($B$32,$B$34,$B$35,$B$36,$B$38,$B$39)*100),0,B38/SUM($B$32,$B$34,$B$35,$B$36,$B$38,$B$39)*100)</f>
        <v>0.85567470956210889</v>
      </c>
      <c r="D38" s="234"/>
      <c r="G38" s="15"/>
    </row>
    <row r="39" spans="1:7">
      <c r="A39" s="171" t="s">
        <v>78</v>
      </c>
      <c r="B39" s="33">
        <f>IF((B25-(B29-B18))&lt;0,0,B25-(B29-B18)*0.9)</f>
        <v>399.69999999999993</v>
      </c>
      <c r="C39" s="167">
        <f>IF(ISERROR(B39/SUM($B$32,$B$34,$B$35,$B$36,$B$38,$B$39)*100),0,B39/SUM($B$32,$B$34,$B$35,$B$36,$B$38,$B$39)*100)</f>
        <v>8.9298480786416423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3079</v>
      </c>
      <c r="C44" s="34" t="s">
        <v>111</v>
      </c>
      <c r="D44" s="174"/>
    </row>
    <row r="45" spans="1:7">
      <c r="A45" s="171" t="s">
        <v>72</v>
      </c>
      <c r="B45" s="33" t="str">
        <f t="shared" si="0"/>
        <v>-</v>
      </c>
      <c r="C45" s="34" t="s">
        <v>111</v>
      </c>
      <c r="D45" s="174"/>
    </row>
    <row r="46" spans="1:7">
      <c r="A46" s="171" t="s">
        <v>73</v>
      </c>
      <c r="B46" s="33">
        <f t="shared" si="0"/>
        <v>129.47597254004577</v>
      </c>
      <c r="C46" s="34" t="s">
        <v>111</v>
      </c>
      <c r="D46" s="174"/>
    </row>
    <row r="47" spans="1:7">
      <c r="A47" s="171" t="s">
        <v>74</v>
      </c>
      <c r="B47" s="33">
        <f t="shared" si="0"/>
        <v>632.01830663615567</v>
      </c>
      <c r="C47" s="34" t="s">
        <v>111</v>
      </c>
      <c r="D47" s="174"/>
    </row>
    <row r="48" spans="1:7">
      <c r="A48" s="171" t="s">
        <v>75</v>
      </c>
      <c r="B48" s="33">
        <f t="shared" si="0"/>
        <v>197.50572082379867</v>
      </c>
      <c r="C48" s="33">
        <f>B48*10</f>
        <v>1975.0572082379867</v>
      </c>
      <c r="D48" s="234"/>
    </row>
    <row r="49" spans="1:6">
      <c r="A49" s="171" t="s">
        <v>76</v>
      </c>
      <c r="B49" s="33" t="str">
        <f t="shared" si="0"/>
        <v>-</v>
      </c>
      <c r="C49" s="34" t="s">
        <v>111</v>
      </c>
      <c r="D49" s="234"/>
    </row>
    <row r="50" spans="1:6">
      <c r="A50" s="171" t="s">
        <v>77</v>
      </c>
      <c r="B50" s="33">
        <f t="shared" si="0"/>
        <v>38.299999999999997</v>
      </c>
      <c r="C50" s="33">
        <f>B50*2</f>
        <v>76.599999999999994</v>
      </c>
      <c r="D50" s="234"/>
    </row>
    <row r="51" spans="1:6">
      <c r="A51" s="171" t="s">
        <v>78</v>
      </c>
      <c r="B51" s="33">
        <f t="shared" si="0"/>
        <v>399.69999999999993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11709.022572859714</v>
      </c>
      <c r="C5" s="17">
        <f>IF(ISERROR('Eigen informatie GS &amp; warmtenet'!B58),0,'Eigen informatie GS &amp; warmtenet'!B58)</f>
        <v>0</v>
      </c>
      <c r="D5" s="30">
        <f>SUM(D6:D12)</f>
        <v>12100.127251704947</v>
      </c>
      <c r="E5" s="17">
        <f>SUM(E6:E12)</f>
        <v>212.78790271737702</v>
      </c>
      <c r="F5" s="17">
        <f>SUM(F6:F12)</f>
        <v>2065.1717443146158</v>
      </c>
      <c r="G5" s="18"/>
      <c r="H5" s="17"/>
      <c r="I5" s="17"/>
      <c r="J5" s="17">
        <f>SUM(J6:J12)</f>
        <v>2.0078690810235576E-2</v>
      </c>
      <c r="K5" s="17"/>
      <c r="L5" s="17"/>
      <c r="M5" s="17"/>
      <c r="N5" s="17">
        <f>SUM(N6:N12)</f>
        <v>815.42449800877387</v>
      </c>
      <c r="O5" s="17">
        <f>B38*B39*B40</f>
        <v>4.6900000000000004</v>
      </c>
      <c r="P5" s="17">
        <f>B46*B47*B48/1000-B46*B47*B48/1000/B49</f>
        <v>133.46666666666667</v>
      </c>
      <c r="R5" s="32"/>
    </row>
    <row r="6" spans="1:18">
      <c r="A6" s="32" t="s">
        <v>54</v>
      </c>
      <c r="B6" s="37">
        <f>B26</f>
        <v>1580.68175184488</v>
      </c>
      <c r="C6" s="33"/>
      <c r="D6" s="37">
        <f>IF(ISERROR(TER_kantoor_gas_kWh/1000),0,TER_kantoor_gas_kWh/1000)*0.902</f>
        <v>3035.3947801947156</v>
      </c>
      <c r="E6" s="33">
        <f>$C$26*'E Balans VL '!I12/100/3.6*1000000</f>
        <v>9.9071874940492924E-3</v>
      </c>
      <c r="F6" s="33">
        <f>$C$26*('E Balans VL '!L12+'E Balans VL '!N12)/100/3.6*1000000</f>
        <v>237.53229884162664</v>
      </c>
      <c r="G6" s="34"/>
      <c r="H6" s="33"/>
      <c r="I6" s="33"/>
      <c r="J6" s="33">
        <f>$C$26*('E Balans VL '!D12+'E Balans VL '!E12)/100/3.6*1000000</f>
        <v>0</v>
      </c>
      <c r="K6" s="33"/>
      <c r="L6" s="33"/>
      <c r="M6" s="33"/>
      <c r="N6" s="33">
        <f>$C$26*'E Balans VL '!Y12/100/3.6*1000000</f>
        <v>1.5116877338500778</v>
      </c>
      <c r="O6" s="33"/>
      <c r="P6" s="33"/>
      <c r="R6" s="32"/>
    </row>
    <row r="7" spans="1:18">
      <c r="A7" s="32" t="s">
        <v>53</v>
      </c>
      <c r="B7" s="37">
        <f t="shared" ref="B7:B12" si="0">B27</f>
        <v>709.76165885474097</v>
      </c>
      <c r="C7" s="33"/>
      <c r="D7" s="37">
        <f>IF(ISERROR(TER_horeca_gas_kWh/1000),0,TER_horeca_gas_kWh/1000)*0.902</f>
        <v>1072.4180807947889</v>
      </c>
      <c r="E7" s="33">
        <f>$C$27*'E Balans VL '!I9/100/3.6*1000000</f>
        <v>10.163668731076212</v>
      </c>
      <c r="F7" s="33">
        <f>$C$27*('E Balans VL '!L9+'E Balans VL '!N9)/100/3.6*1000000</f>
        <v>89.879234852365073</v>
      </c>
      <c r="G7" s="34"/>
      <c r="H7" s="33"/>
      <c r="I7" s="33"/>
      <c r="J7" s="33">
        <f>$C$27*('E Balans VL '!D9+'E Balans VL '!E9)/100/3.6*1000000</f>
        <v>0</v>
      </c>
      <c r="K7" s="33"/>
      <c r="L7" s="33"/>
      <c r="M7" s="33"/>
      <c r="N7" s="33">
        <f>$C$27*'E Balans VL '!Y9/100/3.6*1000000</f>
        <v>0.20404082801945678</v>
      </c>
      <c r="O7" s="33"/>
      <c r="P7" s="33"/>
      <c r="R7" s="32"/>
    </row>
    <row r="8" spans="1:18">
      <c r="A8" s="6" t="s">
        <v>52</v>
      </c>
      <c r="B8" s="37">
        <f t="shared" si="0"/>
        <v>4319.1481459016104</v>
      </c>
      <c r="C8" s="33"/>
      <c r="D8" s="37">
        <f>IF(ISERROR(TER_handel_gas_kWh/1000),0,TER_handel_gas_kWh/1000)*0.902</f>
        <v>1995.5105552863704</v>
      </c>
      <c r="E8" s="33">
        <f>$C$28*'E Balans VL '!I13/100/3.6*1000000</f>
        <v>156.65497063836398</v>
      </c>
      <c r="F8" s="33">
        <f>$C$28*('E Balans VL '!L13+'E Balans VL '!N13)/100/3.6*1000000</f>
        <v>831.91166705615808</v>
      </c>
      <c r="G8" s="34"/>
      <c r="H8" s="33"/>
      <c r="I8" s="33"/>
      <c r="J8" s="33">
        <f>$C$28*('E Balans VL '!D13+'E Balans VL '!E13)/100/3.6*1000000</f>
        <v>0</v>
      </c>
      <c r="K8" s="33"/>
      <c r="L8" s="33"/>
      <c r="M8" s="33"/>
      <c r="N8" s="33">
        <f>$C$28*'E Balans VL '!Y13/100/3.6*1000000</f>
        <v>5.983013973740321</v>
      </c>
      <c r="O8" s="33"/>
      <c r="P8" s="33"/>
      <c r="R8" s="32"/>
    </row>
    <row r="9" spans="1:18">
      <c r="A9" s="32" t="s">
        <v>51</v>
      </c>
      <c r="B9" s="37">
        <f t="shared" si="0"/>
        <v>940.88752433888101</v>
      </c>
      <c r="C9" s="33"/>
      <c r="D9" s="37">
        <f>IF(ISERROR(TER_gezond_gas_kWh/1000),0,TER_gezond_gas_kWh/1000)*0.902</f>
        <v>2063.5692781237558</v>
      </c>
      <c r="E9" s="33">
        <f>$C$29*'E Balans VL '!I10/100/3.6*1000000</f>
        <v>5.8908848609656034E-2</v>
      </c>
      <c r="F9" s="33">
        <f>$C$29*('E Balans VL '!L10+'E Balans VL '!N10)/100/3.6*1000000</f>
        <v>139.77170647022996</v>
      </c>
      <c r="G9" s="34"/>
      <c r="H9" s="33"/>
      <c r="I9" s="33"/>
      <c r="J9" s="33">
        <f>$C$29*('E Balans VL '!D10+'E Balans VL '!E10)/100/3.6*1000000</f>
        <v>0</v>
      </c>
      <c r="K9" s="33"/>
      <c r="L9" s="33"/>
      <c r="M9" s="33"/>
      <c r="N9" s="33">
        <f>$C$29*'E Balans VL '!Y10/100/3.6*1000000</f>
        <v>14.553739014359346</v>
      </c>
      <c r="O9" s="33"/>
      <c r="P9" s="33"/>
      <c r="R9" s="32"/>
    </row>
    <row r="10" spans="1:18">
      <c r="A10" s="32" t="s">
        <v>50</v>
      </c>
      <c r="B10" s="37">
        <f t="shared" si="0"/>
        <v>527.56709607205198</v>
      </c>
      <c r="C10" s="33"/>
      <c r="D10" s="37">
        <f>IF(ISERROR(TER_ander_gas_kWh/1000),0,TER_ander_gas_kWh/1000)*0.902</f>
        <v>318.91812662327982</v>
      </c>
      <c r="E10" s="33">
        <f>$C$30*'E Balans VL '!I14/100/3.6*1000000</f>
        <v>0.62884112645531121</v>
      </c>
      <c r="F10" s="33">
        <f>$C$30*('E Balans VL '!L14+'E Balans VL '!N14)/100/3.6*1000000</f>
        <v>138.03500612340571</v>
      </c>
      <c r="G10" s="34"/>
      <c r="H10" s="33"/>
      <c r="I10" s="33"/>
      <c r="J10" s="33">
        <f>$C$30*('E Balans VL '!D14+'E Balans VL '!E14)/100/3.6*1000000</f>
        <v>1.1451413649809341E-2</v>
      </c>
      <c r="K10" s="33"/>
      <c r="L10" s="33"/>
      <c r="M10" s="33"/>
      <c r="N10" s="33">
        <f>$C$30*'E Balans VL '!Y14/100/3.6*1000000</f>
        <v>447.99706859925823</v>
      </c>
      <c r="O10" s="33"/>
      <c r="P10" s="33"/>
      <c r="R10" s="32"/>
    </row>
    <row r="11" spans="1:18">
      <c r="A11" s="32" t="s">
        <v>55</v>
      </c>
      <c r="B11" s="37">
        <f t="shared" si="0"/>
        <v>68.231300185759792</v>
      </c>
      <c r="C11" s="33"/>
      <c r="D11" s="37">
        <f>IF(ISERROR(TER_onderwijs_gas_kWh/1000),0,TER_onderwijs_gas_kWh/1000)*0.902</f>
        <v>318.44860997766091</v>
      </c>
      <c r="E11" s="33">
        <f>$C$31*'E Balans VL '!I11/100/3.6*1000000</f>
        <v>1.0295004228440978</v>
      </c>
      <c r="F11" s="33">
        <f>$C$31*('E Balans VL '!L11+'E Balans VL '!N11)/100/3.6*1000000</f>
        <v>11.955213819993533</v>
      </c>
      <c r="G11" s="34"/>
      <c r="H11" s="33"/>
      <c r="I11" s="33"/>
      <c r="J11" s="33">
        <f>$C$31*('E Balans VL '!D11+'E Balans VL '!E11)/100/3.6*1000000</f>
        <v>0</v>
      </c>
      <c r="K11" s="33"/>
      <c r="L11" s="33"/>
      <c r="M11" s="33"/>
      <c r="N11" s="33">
        <f>$C$31*'E Balans VL '!Y11/100/3.6*1000000</f>
        <v>0.1920080658637042</v>
      </c>
      <c r="O11" s="33"/>
      <c r="P11" s="33"/>
      <c r="R11" s="32"/>
    </row>
    <row r="12" spans="1:18">
      <c r="A12" s="32" t="s">
        <v>260</v>
      </c>
      <c r="B12" s="37">
        <f t="shared" si="0"/>
        <v>3562.7450956617899</v>
      </c>
      <c r="C12" s="33"/>
      <c r="D12" s="37">
        <f>IF(ISERROR(TER_rest_gas_kWh/1000),0,TER_rest_gas_kWh/1000)*0.902</f>
        <v>3295.8678207043768</v>
      </c>
      <c r="E12" s="33">
        <f>$C$32*'E Balans VL '!I8/100/3.6*1000000</f>
        <v>44.242105762533704</v>
      </c>
      <c r="F12" s="33">
        <f>$C$32*('E Balans VL '!L8+'E Balans VL '!N8)/100/3.6*1000000</f>
        <v>616.08661715083679</v>
      </c>
      <c r="G12" s="34"/>
      <c r="H12" s="33"/>
      <c r="I12" s="33"/>
      <c r="J12" s="33">
        <f>$C$32*('E Balans VL '!D8+'E Balans VL '!E8)/100/3.6*1000000</f>
        <v>8.6272771604262357E-3</v>
      </c>
      <c r="K12" s="33"/>
      <c r="L12" s="33"/>
      <c r="M12" s="33"/>
      <c r="N12" s="33">
        <f>$C$32*'E Balans VL '!Y8/100/3.6*1000000</f>
        <v>344.9829397936827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11709.022572859714</v>
      </c>
      <c r="C16" s="21">
        <f t="shared" ca="1" si="1"/>
        <v>0</v>
      </c>
      <c r="D16" s="21">
        <f t="shared" ca="1" si="1"/>
        <v>12100.127251704947</v>
      </c>
      <c r="E16" s="21">
        <f t="shared" si="1"/>
        <v>212.78790271737702</v>
      </c>
      <c r="F16" s="21">
        <f t="shared" ca="1" si="1"/>
        <v>2065.1717443146158</v>
      </c>
      <c r="G16" s="21">
        <f t="shared" si="1"/>
        <v>0</v>
      </c>
      <c r="H16" s="21">
        <f t="shared" si="1"/>
        <v>0</v>
      </c>
      <c r="I16" s="21">
        <f t="shared" si="1"/>
        <v>0</v>
      </c>
      <c r="J16" s="21">
        <f t="shared" si="1"/>
        <v>2.0078690810235576E-2</v>
      </c>
      <c r="K16" s="21">
        <f t="shared" si="1"/>
        <v>0</v>
      </c>
      <c r="L16" s="21">
        <f t="shared" ca="1" si="1"/>
        <v>0</v>
      </c>
      <c r="M16" s="21">
        <f t="shared" si="1"/>
        <v>0</v>
      </c>
      <c r="N16" s="21">
        <f t="shared" ca="1" si="1"/>
        <v>815.42449800877387</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0.21195072745336369</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2481.7358520854727</v>
      </c>
      <c r="C20" s="23">
        <f t="shared" ref="C20:P20" ca="1" si="2">C16*C18</f>
        <v>0</v>
      </c>
      <c r="D20" s="23">
        <f t="shared" ca="1" si="2"/>
        <v>2444.2257048443994</v>
      </c>
      <c r="E20" s="23">
        <f t="shared" si="2"/>
        <v>48.302853916844583</v>
      </c>
      <c r="F20" s="23">
        <f t="shared" ca="1" si="2"/>
        <v>551.40085573200247</v>
      </c>
      <c r="G20" s="23">
        <f t="shared" si="2"/>
        <v>0</v>
      </c>
      <c r="H20" s="23">
        <f t="shared" si="2"/>
        <v>0</v>
      </c>
      <c r="I20" s="23">
        <f t="shared" si="2"/>
        <v>0</v>
      </c>
      <c r="J20" s="23">
        <f t="shared" si="2"/>
        <v>7.1078565468233939E-3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1580.68175184488</v>
      </c>
      <c r="C26" s="39">
        <f>IF(ISERROR(B26*3.6/1000000/'E Balans VL '!Z12*100),0,B26*3.6/1000000/'E Balans VL '!Z12*100)</f>
        <v>3.3413108231844894E-2</v>
      </c>
      <c r="D26" s="237" t="s">
        <v>754</v>
      </c>
      <c r="F26" s="6"/>
    </row>
    <row r="27" spans="1:18">
      <c r="A27" s="231" t="s">
        <v>53</v>
      </c>
      <c r="B27" s="33">
        <f>IF(ISERROR(TER_horeca_ele_kWh/1000),0,TER_horeca_ele_kWh/1000)</f>
        <v>709.76165885474097</v>
      </c>
      <c r="C27" s="39">
        <f>IF(ISERROR(B27*3.6/1000000/'E Balans VL '!Z9*100),0,B27*3.6/1000000/'E Balans VL '!Z9*100)</f>
        <v>5.5950247025843641E-2</v>
      </c>
      <c r="D27" s="237" t="s">
        <v>754</v>
      </c>
      <c r="F27" s="6"/>
    </row>
    <row r="28" spans="1:18">
      <c r="A28" s="171" t="s">
        <v>52</v>
      </c>
      <c r="B28" s="33">
        <f>IF(ISERROR(TER_handel_ele_kWh/1000),0,TER_handel_ele_kWh/1000)</f>
        <v>4319.1481459016104</v>
      </c>
      <c r="C28" s="39">
        <f>IF(ISERROR(B28*3.6/1000000/'E Balans VL '!Z13*100),0,B28*3.6/1000000/'E Balans VL '!Z13*100)</f>
        <v>0.12535913050810044</v>
      </c>
      <c r="D28" s="237" t="s">
        <v>754</v>
      </c>
      <c r="F28" s="6"/>
    </row>
    <row r="29" spans="1:18">
      <c r="A29" s="231" t="s">
        <v>51</v>
      </c>
      <c r="B29" s="33">
        <f>IF(ISERROR(TER_gezond_ele_kWh/1000),0,TER_gezond_ele_kWh/1000)</f>
        <v>940.88752433888101</v>
      </c>
      <c r="C29" s="39">
        <f>IF(ISERROR(B29*3.6/1000000/'E Balans VL '!Z10*100),0,B29*3.6/1000000/'E Balans VL '!Z10*100)</f>
        <v>9.909090609384831E-2</v>
      </c>
      <c r="D29" s="237" t="s">
        <v>754</v>
      </c>
      <c r="F29" s="6"/>
    </row>
    <row r="30" spans="1:18">
      <c r="A30" s="231" t="s">
        <v>50</v>
      </c>
      <c r="B30" s="33">
        <f>IF(ISERROR(TER_ander_ele_kWh/1000),0,TER_ander_ele_kWh/1000)</f>
        <v>527.56709607205198</v>
      </c>
      <c r="C30" s="39">
        <f>IF(ISERROR(B30*3.6/1000000/'E Balans VL '!Z14*100),0,B30*3.6/1000000/'E Balans VL '!Z14*100)</f>
        <v>3.8913463593277825E-2</v>
      </c>
      <c r="D30" s="237" t="s">
        <v>754</v>
      </c>
      <c r="F30" s="6"/>
    </row>
    <row r="31" spans="1:18">
      <c r="A31" s="231" t="s">
        <v>55</v>
      </c>
      <c r="B31" s="33">
        <f>IF(ISERROR(TER_onderwijs_ele_kWh/1000),0,TER_onderwijs_ele_kWh/1000)</f>
        <v>68.231300185759792</v>
      </c>
      <c r="C31" s="39">
        <f>IF(ISERROR(B31*3.6/1000000/'E Balans VL '!Z11*100),0,B31*3.6/1000000/'E Balans VL '!Z11*100)</f>
        <v>1.6945027978452262E-2</v>
      </c>
      <c r="D31" s="237" t="s">
        <v>754</v>
      </c>
    </row>
    <row r="32" spans="1:18">
      <c r="A32" s="231" t="s">
        <v>260</v>
      </c>
      <c r="B32" s="33">
        <f>IF(ISERROR(TER_rest_ele_kWh/1000),0,TER_rest_ele_kWh/1000)</f>
        <v>3562.7450956617899</v>
      </c>
      <c r="C32" s="39">
        <f>IF(ISERROR(B32*3.6/1000000/'E Balans VL '!Z8*100),0,B32*3.6/1000000/'E Balans VL '!Z8*100)</f>
        <v>2.9316663073903813E-2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7</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18516.951471148026</v>
      </c>
      <c r="C5" s="17">
        <f>IF(ISERROR('Eigen informatie GS &amp; warmtenet'!B59),0,'Eigen informatie GS &amp; warmtenet'!B59)</f>
        <v>0</v>
      </c>
      <c r="D5" s="30">
        <f>SUM(D6:D15)</f>
        <v>14886.200694542422</v>
      </c>
      <c r="E5" s="17">
        <f>SUM(E6:E15)</f>
        <v>1277.3159906220922</v>
      </c>
      <c r="F5" s="17">
        <f>SUM(F6:F15)</f>
        <v>4356.1178902702777</v>
      </c>
      <c r="G5" s="18"/>
      <c r="H5" s="17"/>
      <c r="I5" s="17"/>
      <c r="J5" s="17">
        <f>SUM(J6:J15)</f>
        <v>37.428855195325347</v>
      </c>
      <c r="K5" s="17"/>
      <c r="L5" s="17"/>
      <c r="M5" s="17"/>
      <c r="N5" s="17">
        <f>SUM(N6:N15)</f>
        <v>3488.6393049744756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271.27358491194701</v>
      </c>
      <c r="C8" s="33"/>
      <c r="D8" s="37">
        <f>IF( ISERROR(IND_metaal_Gas_kWH/1000),0,IND_metaal_Gas_kWH/1000)*0.902</f>
        <v>0</v>
      </c>
      <c r="E8" s="33">
        <f>C30*'E Balans VL '!I18/100/3.6*1000000</f>
        <v>2.4940986147454316</v>
      </c>
      <c r="F8" s="33">
        <f>C30*'E Balans VL '!L18/100/3.6*1000000+C30*'E Balans VL '!N18/100/3.6*1000000</f>
        <v>25.436430652877746</v>
      </c>
      <c r="G8" s="34"/>
      <c r="H8" s="33"/>
      <c r="I8" s="33"/>
      <c r="J8" s="40">
        <f>C30*'E Balans VL '!D18/100/3.6*1000000+C30*'E Balans VL '!E18/100/3.6*1000000</f>
        <v>0</v>
      </c>
      <c r="K8" s="33"/>
      <c r="L8" s="33"/>
      <c r="M8" s="33"/>
      <c r="N8" s="33">
        <f>C30*'E Balans VL '!Y18/100/3.6*1000000</f>
        <v>3.8701659872463097</v>
      </c>
      <c r="O8" s="33"/>
      <c r="P8" s="33"/>
      <c r="R8" s="32"/>
    </row>
    <row r="9" spans="1:18">
      <c r="A9" s="6" t="s">
        <v>33</v>
      </c>
      <c r="B9" s="37">
        <f t="shared" si="0"/>
        <v>2344.4897187495999</v>
      </c>
      <c r="C9" s="33"/>
      <c r="D9" s="37">
        <f>IF( ISERROR(IND_andere_gas_kWh/1000),0,IND_andere_gas_kWh/1000)*0.902</f>
        <v>1623.2354485482742</v>
      </c>
      <c r="E9" s="33">
        <f>C31*'E Balans VL '!I19/100/3.6*1000000</f>
        <v>685.33998662190925</v>
      </c>
      <c r="F9" s="33">
        <f>C31*'E Balans VL '!L19/100/3.6*1000000+C31*'E Balans VL '!N19/100/3.6*1000000</f>
        <v>1883.9749505807933</v>
      </c>
      <c r="G9" s="34"/>
      <c r="H9" s="33"/>
      <c r="I9" s="33"/>
      <c r="J9" s="40">
        <f>C31*'E Balans VL '!D19/100/3.6*1000000+C31*'E Balans VL '!E19/100/3.6*1000000</f>
        <v>0</v>
      </c>
      <c r="K9" s="33"/>
      <c r="L9" s="33"/>
      <c r="M9" s="33"/>
      <c r="N9" s="33">
        <f>C31*'E Balans VL '!Y19/100/3.6*1000000</f>
        <v>774.65576353244705</v>
      </c>
      <c r="O9" s="33"/>
      <c r="P9" s="33"/>
      <c r="R9" s="32"/>
    </row>
    <row r="10" spans="1:18">
      <c r="A10" s="6" t="s">
        <v>41</v>
      </c>
      <c r="B10" s="37">
        <f t="shared" si="0"/>
        <v>4655.5774457307598</v>
      </c>
      <c r="C10" s="33"/>
      <c r="D10" s="37">
        <f>IF( ISERROR(IND_voed_gas_kWh/1000),0,IND_voed_gas_kWh/1000)*0.902</f>
        <v>284.93150679148823</v>
      </c>
      <c r="E10" s="33">
        <f>C32*'E Balans VL '!I20/100/3.6*1000000</f>
        <v>9.8489462720266747</v>
      </c>
      <c r="F10" s="33">
        <f>C32*'E Balans VL '!L20/100/3.6*1000000+C32*'E Balans VL '!N20/100/3.6*1000000</f>
        <v>296.00636953246868</v>
      </c>
      <c r="G10" s="34"/>
      <c r="H10" s="33"/>
      <c r="I10" s="33"/>
      <c r="J10" s="40">
        <f>C32*'E Balans VL '!D20/100/3.6*1000000+C32*'E Balans VL '!E20/100/3.6*1000000</f>
        <v>0</v>
      </c>
      <c r="K10" s="33"/>
      <c r="L10" s="33"/>
      <c r="M10" s="33"/>
      <c r="N10" s="33">
        <f>C32*'E Balans VL '!Y20/100/3.6*1000000</f>
        <v>321.28078611623926</v>
      </c>
      <c r="O10" s="33"/>
      <c r="P10" s="33"/>
      <c r="R10" s="32"/>
    </row>
    <row r="11" spans="1:18">
      <c r="A11" s="6" t="s">
        <v>40</v>
      </c>
      <c r="B11" s="37">
        <f t="shared" si="0"/>
        <v>790.56770373011909</v>
      </c>
      <c r="C11" s="33"/>
      <c r="D11" s="37">
        <f>IF( ISERROR(IND_textiel_gas_kWh/1000),0,IND_textiel_gas_kWh/1000)*0.902</f>
        <v>0</v>
      </c>
      <c r="E11" s="33">
        <f>C33*'E Balans VL '!I21/100/3.6*1000000</f>
        <v>2.3479179200391309</v>
      </c>
      <c r="F11" s="33">
        <f>C33*'E Balans VL '!L21/100/3.6*1000000+C33*'E Balans VL '!N21/100/3.6*1000000</f>
        <v>79.869042414670659</v>
      </c>
      <c r="G11" s="34"/>
      <c r="H11" s="33"/>
      <c r="I11" s="33"/>
      <c r="J11" s="40">
        <f>C33*'E Balans VL '!D21/100/3.6*1000000+C33*'E Balans VL '!E21/100/3.6*1000000</f>
        <v>0</v>
      </c>
      <c r="K11" s="33"/>
      <c r="L11" s="33"/>
      <c r="M11" s="33"/>
      <c r="N11" s="33">
        <f>C33*'E Balans VL '!Y21/100/3.6*1000000</f>
        <v>43.6023318423183</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10455.043018025599</v>
      </c>
      <c r="C15" s="33"/>
      <c r="D15" s="37">
        <f>IF( ISERROR(IND_rest_gas_kWh/1000),0,IND_rest_gas_kWh/1000)*0.902</f>
        <v>12978.033739202659</v>
      </c>
      <c r="E15" s="33">
        <f>C37*'E Balans VL '!I15/100/3.6*1000000</f>
        <v>577.28504119337163</v>
      </c>
      <c r="F15" s="33">
        <f>C37*'E Balans VL '!L15/100/3.6*1000000+C37*'E Balans VL '!N15/100/3.6*1000000</f>
        <v>2070.8310970894677</v>
      </c>
      <c r="G15" s="34"/>
      <c r="H15" s="33"/>
      <c r="I15" s="33"/>
      <c r="J15" s="40">
        <f>C37*'E Balans VL '!D15/100/3.6*1000000+C37*'E Balans VL '!E15/100/3.6*1000000</f>
        <v>37.428855195325347</v>
      </c>
      <c r="K15" s="33"/>
      <c r="L15" s="33"/>
      <c r="M15" s="33"/>
      <c r="N15" s="33">
        <f>C37*'E Balans VL '!Y15/100/3.6*1000000</f>
        <v>2345.230257496225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18516.951471148026</v>
      </c>
      <c r="C18" s="21">
        <f>C5+C16</f>
        <v>0</v>
      </c>
      <c r="D18" s="21">
        <f>MAX((D5+D16),0)</f>
        <v>14886.200694542422</v>
      </c>
      <c r="E18" s="21">
        <f>MAX((E5+E16),0)</f>
        <v>1277.3159906220922</v>
      </c>
      <c r="F18" s="21">
        <f>MAX((F5+F16),0)</f>
        <v>4356.1178902702777</v>
      </c>
      <c r="G18" s="21"/>
      <c r="H18" s="21"/>
      <c r="I18" s="21"/>
      <c r="J18" s="21">
        <f>MAX((J5+J16),0)</f>
        <v>37.428855195325347</v>
      </c>
      <c r="K18" s="21"/>
      <c r="L18" s="21">
        <f>MAX((L5+L16),0)</f>
        <v>0</v>
      </c>
      <c r="M18" s="21"/>
      <c r="N18" s="21">
        <f>MAX((N5+N16),0)</f>
        <v>3488.6393049744756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0.21195072745336369</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3924.6813345284572</v>
      </c>
      <c r="C22" s="23">
        <f ca="1">C18*C20</f>
        <v>0</v>
      </c>
      <c r="D22" s="23">
        <f>D18*D20</f>
        <v>3007.0125402975696</v>
      </c>
      <c r="E22" s="23">
        <f>E18*E20</f>
        <v>289.95072987121495</v>
      </c>
      <c r="F22" s="23">
        <f>F18*F20</f>
        <v>1163.0834767021643</v>
      </c>
      <c r="G22" s="23"/>
      <c r="H22" s="23"/>
      <c r="I22" s="23"/>
      <c r="J22" s="23">
        <f>J18*J20</f>
        <v>13.249814739145172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271.27358491194701</v>
      </c>
      <c r="C30" s="39">
        <f>IF(ISERROR(B30*3.6/1000000/'E Balans VL '!Z18*100),0,B30*3.6/1000000/'E Balans VL '!Z18*100)</f>
        <v>1.5373769647926767E-2</v>
      </c>
      <c r="D30" s="237" t="s">
        <v>754</v>
      </c>
    </row>
    <row r="31" spans="1:18">
      <c r="A31" s="6" t="s">
        <v>33</v>
      </c>
      <c r="B31" s="37">
        <f>IF( ISERROR(IND_ander_ele_kWh/1000),0,IND_ander_ele_kWh/1000)</f>
        <v>2344.4897187495999</v>
      </c>
      <c r="C31" s="39">
        <f>IF(ISERROR(B31*3.6/1000000/'E Balans VL '!Z19*100),0,B31*3.6/1000000/'E Balans VL '!Z19*100)</f>
        <v>0.10633629135720257</v>
      </c>
      <c r="D31" s="237" t="s">
        <v>754</v>
      </c>
    </row>
    <row r="32" spans="1:18">
      <c r="A32" s="171" t="s">
        <v>41</v>
      </c>
      <c r="B32" s="37">
        <f>IF( ISERROR(IND_voed_ele_kWh/1000),0,IND_voed_ele_kWh/1000)</f>
        <v>4655.5774457307598</v>
      </c>
      <c r="C32" s="39">
        <f>IF(ISERROR(B32*3.6/1000000/'E Balans VL '!Z20*100),0,B32*3.6/1000000/'E Balans VL '!Z20*100)</f>
        <v>0.14401814493355095</v>
      </c>
      <c r="D32" s="237" t="s">
        <v>754</v>
      </c>
    </row>
    <row r="33" spans="1:5">
      <c r="A33" s="171" t="s">
        <v>40</v>
      </c>
      <c r="B33" s="37">
        <f>IF( ISERROR(IND_textiel_ele_kWh/1000),0,IND_textiel_ele_kWh/1000)</f>
        <v>790.56770373011909</v>
      </c>
      <c r="C33" s="39">
        <f>IF(ISERROR(B33*3.6/1000000/'E Balans VL '!Z21*100),0,B33*3.6/1000000/'E Balans VL '!Z21*100)</f>
        <v>0.10308124095891441</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10455.043018025599</v>
      </c>
      <c r="C37" s="39">
        <f>IF(ISERROR(B37*3.6/1000000/'E Balans VL '!Z15*100),0,B37*3.6/1000000/'E Balans VL '!Z15*100)</f>
        <v>8.2869055931826141E-2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3565.7404880506051</v>
      </c>
      <c r="C5" s="17">
        <f>'Eigen informatie GS &amp; warmtenet'!B60</f>
        <v>0</v>
      </c>
      <c r="D5" s="30">
        <f>IF(ISERROR(SUM(LB_lb_gas_kWh,LB_rest_gas_kWh)/1000),0,SUM(LB_lb_gas_kWh,LB_rest_gas_kWh)/1000)*0.902</f>
        <v>73226.209339268942</v>
      </c>
      <c r="E5" s="17">
        <f>B17*'E Balans VL '!I25/3.6*1000000/100</f>
        <v>104.80800397231661</v>
      </c>
      <c r="F5" s="17">
        <f>B17*('E Balans VL '!L25/3.6*1000000+'E Balans VL '!N25/3.6*1000000)/100</f>
        <v>14854.682190716303</v>
      </c>
      <c r="G5" s="18"/>
      <c r="H5" s="17"/>
      <c r="I5" s="17"/>
      <c r="J5" s="17">
        <f>('E Balans VL '!D25+'E Balans VL '!E25)/3.6*1000000*landbouw!B17/100</f>
        <v>516.59922156500465</v>
      </c>
      <c r="K5" s="17"/>
      <c r="L5" s="17">
        <f>L6*(-1)</f>
        <v>0</v>
      </c>
      <c r="M5" s="17"/>
      <c r="N5" s="17">
        <f>N6*(-1)</f>
        <v>0</v>
      </c>
      <c r="O5" s="17"/>
      <c r="P5" s="17"/>
      <c r="R5" s="32"/>
    </row>
    <row r="6" spans="1:18">
      <c r="A6" s="16" t="s">
        <v>488</v>
      </c>
      <c r="B6" s="17" t="s">
        <v>211</v>
      </c>
      <c r="C6" s="17">
        <f>'lokale energieproductie'!O92+'lokale energieproductie'!O61</f>
        <v>31422.857142857145</v>
      </c>
      <c r="D6" s="310">
        <f>('lokale energieproductie'!P61+'lokale energieproductie'!P92)*(-1)</f>
        <v>-62845.71428571429</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3565.7404880506051</v>
      </c>
      <c r="C8" s="21">
        <f>C5+C6</f>
        <v>31422.857142857145</v>
      </c>
      <c r="D8" s="21">
        <f>MAX((D5+D6),0)</f>
        <v>10380.495053554652</v>
      </c>
      <c r="E8" s="21">
        <f>MAX((E5+E6),0)</f>
        <v>104.80800397231661</v>
      </c>
      <c r="F8" s="21">
        <f>MAX((F5+F6),0)</f>
        <v>14854.682190716303</v>
      </c>
      <c r="G8" s="21"/>
      <c r="H8" s="21"/>
      <c r="I8" s="21"/>
      <c r="J8" s="21">
        <f>MAX((J5+J6),0)</f>
        <v>516.59922156500465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0.21195072745336369</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755.76129035223778</v>
      </c>
      <c r="C12" s="23">
        <f ca="1">C8*C10</f>
        <v>7467.5495798319334</v>
      </c>
      <c r="D12" s="23">
        <f>D8*D10</f>
        <v>2096.8600008180397</v>
      </c>
      <c r="E12" s="23">
        <f>E8*E10</f>
        <v>23.791416901715873</v>
      </c>
      <c r="F12" s="23">
        <f>F8*F10</f>
        <v>3966.200144921253</v>
      </c>
      <c r="G12" s="23"/>
      <c r="H12" s="23"/>
      <c r="I12" s="23"/>
      <c r="J12" s="23">
        <f>J8*J10</f>
        <v>182.87612443401164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0.5059897624239883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58.853965595129296</v>
      </c>
      <c r="C26" s="247">
        <f>B26*'GWP N2O_CH4'!B5</f>
        <v>1235.9332774977152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50.766687278486224</v>
      </c>
      <c r="C27" s="247">
        <f>B27*'GWP N2O_CH4'!B5</f>
        <v>1066.1004328482106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1.4304382934981437</v>
      </c>
      <c r="C28" s="247">
        <f>B28*'GWP N2O_CH4'!B4</f>
        <v>443.43587098442453</v>
      </c>
      <c r="D28" s="50"/>
    </row>
    <row r="29" spans="1:4">
      <c r="A29" s="41" t="s">
        <v>277</v>
      </c>
      <c r="B29" s="247">
        <f>B34*'ha_N2O bodem landbouw'!B4</f>
        <v>4.8723282371293664</v>
      </c>
      <c r="C29" s="247">
        <f>B29*'GWP N2O_CH4'!B4</f>
        <v>1510.4217535101036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1.111848512922843E-3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9.2649840144014349E-5</v>
      </c>
      <c r="C5" s="463" t="s">
        <v>211</v>
      </c>
      <c r="D5" s="448">
        <f>SUM(D6:D11)</f>
        <v>3.1279774328865813E-4</v>
      </c>
      <c r="E5" s="448">
        <f>SUM(E6:E11)</f>
        <v>4.1927558796899547E-4</v>
      </c>
      <c r="F5" s="461" t="s">
        <v>211</v>
      </c>
      <c r="G5" s="448">
        <f>SUM(G6:G11)</f>
        <v>0.18264871010854014</v>
      </c>
      <c r="H5" s="448">
        <f>SUM(H6:H11)</f>
        <v>3.534414874281646E-2</v>
      </c>
      <c r="I5" s="463" t="s">
        <v>211</v>
      </c>
      <c r="J5" s="463" t="s">
        <v>211</v>
      </c>
      <c r="K5" s="463" t="s">
        <v>211</v>
      </c>
      <c r="L5" s="463" t="s">
        <v>211</v>
      </c>
      <c r="M5" s="448">
        <f>SUM(M6:M11)</f>
        <v>1.1714035198087648E-2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7.7693724090936248E-5</v>
      </c>
      <c r="C6" s="449"/>
      <c r="D6" s="892">
        <f>vkm_2011_GW_PW*SUMIFS(TableVerdeelsleutelVkm[CNG],TableVerdeelsleutelVkm[Voertuigtype],"Lichte voertuigen")*SUMIFS(TableECFTransport[EnergieConsumptieFactor (PJ per km)],TableECFTransport[Index],CONCATENATE($A6,"_CNG_CNG"))</f>
        <v>2.3303658013132576E-4</v>
      </c>
      <c r="E6" s="892">
        <f>vkm_2011_GW_PW*SUMIFS(TableVerdeelsleutelVkm[LPG],TableVerdeelsleutelVkm[Voertuigtype],"Lichte voertuigen")*SUMIFS(TableECFTransport[EnergieConsumptieFactor (PJ per km)],TableECFTransport[Index],CONCATENATE($A6,"_LPG_LPG"))</f>
        <v>3.1836144251444991E-4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8.2313675118883239E-2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2.6505229546184898E-2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5.591035472128917E-3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6.6826961901158582E-2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2.036750005670742E-5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3.9051421921317861E-3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1.4956116053078094E-5</v>
      </c>
      <c r="C8" s="449"/>
      <c r="D8" s="451">
        <f>vkm_2011_NGW_PW*SUMIFS(TableVerdeelsleutelVkm[CNG],TableVerdeelsleutelVkm[Voertuigtype],"Lichte voertuigen")*SUMIFS(TableECFTransport[EnergieConsumptieFactor (PJ per km)],TableECFTransport[Index],CONCATENATE($A8,"_CNG_CNG"))</f>
        <v>7.9761163157332355E-5</v>
      </c>
      <c r="E8" s="451">
        <f>vkm_2011_NGW_PW*SUMIFS(TableVerdeelsleutelVkm[LPG],TableVerdeelsleutelVkm[Voertuigtype],"Lichte voertuigen")*SUMIFS(TableECFTransport[EnergieConsumptieFactor (PJ per km)],TableECFTransport[Index],CONCATENATE($A8,"_LPG_LPG"))</f>
        <v>1.0091414545454556E-4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2.4314770805593348E-2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8.815913920039076E-3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1.6806368058081749E-3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9.1933022829049759E-3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2.6377765357829368E-6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5.3722072801876944E-4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25.736066706670652</v>
      </c>
      <c r="C14" s="21"/>
      <c r="D14" s="21">
        <f t="shared" ref="D14:M14" si="0">((D5)*10^9/3600)+D12</f>
        <v>86.888262024627267</v>
      </c>
      <c r="E14" s="21">
        <f t="shared" si="0"/>
        <v>116.46544110249873</v>
      </c>
      <c r="F14" s="21"/>
      <c r="G14" s="21">
        <f t="shared" si="0"/>
        <v>50735.75280792782</v>
      </c>
      <c r="H14" s="21">
        <f t="shared" si="0"/>
        <v>9817.819095226796</v>
      </c>
      <c r="I14" s="21"/>
      <c r="J14" s="21"/>
      <c r="K14" s="21"/>
      <c r="L14" s="21"/>
      <c r="M14" s="21">
        <f t="shared" si="0"/>
        <v>3253.8986661354575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0.21195072745336369</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5.4547780602671381</v>
      </c>
      <c r="C18" s="23"/>
      <c r="D18" s="23">
        <f t="shared" ref="D18:M18" si="1">D14*D16</f>
        <v>17.551428928974708</v>
      </c>
      <c r="E18" s="23">
        <f t="shared" si="1"/>
        <v>26.437655130267213</v>
      </c>
      <c r="F18" s="23"/>
      <c r="G18" s="23">
        <f t="shared" si="1"/>
        <v>13546.445999716729</v>
      </c>
      <c r="H18" s="23">
        <f t="shared" si="1"/>
        <v>2444.6369547114723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2.0880632737330933E-3</v>
      </c>
      <c r="H50" s="321">
        <f t="shared" si="2"/>
        <v>0</v>
      </c>
      <c r="I50" s="321">
        <f t="shared" si="2"/>
        <v>0</v>
      </c>
      <c r="J50" s="321">
        <f t="shared" si="2"/>
        <v>0</v>
      </c>
      <c r="K50" s="321">
        <f t="shared" si="2"/>
        <v>0</v>
      </c>
      <c r="L50" s="321">
        <f t="shared" si="2"/>
        <v>0</v>
      </c>
      <c r="M50" s="321">
        <f t="shared" si="2"/>
        <v>1.18592776033222E-4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2.0880632737330933E-3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1.18592776033222E-4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580.01757603697035</v>
      </c>
      <c r="H54" s="21">
        <f t="shared" si="3"/>
        <v>0</v>
      </c>
      <c r="I54" s="21">
        <f t="shared" si="3"/>
        <v>0</v>
      </c>
      <c r="J54" s="21">
        <f t="shared" si="3"/>
        <v>0</v>
      </c>
      <c r="K54" s="21">
        <f t="shared" si="3"/>
        <v>0</v>
      </c>
      <c r="L54" s="21">
        <f t="shared" si="3"/>
        <v>0</v>
      </c>
      <c r="M54" s="21">
        <f t="shared" si="3"/>
        <v>32.942437787006106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0.21195072745336369</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154.86469280187109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12516.648572859714</v>
      </c>
      <c r="D10" s="1013">
        <f ca="1">tertiair!C16</f>
        <v>0</v>
      </c>
      <c r="E10" s="1013">
        <f ca="1">tertiair!D16</f>
        <v>12100.127251704947</v>
      </c>
      <c r="F10" s="1013">
        <f>tertiair!E16</f>
        <v>212.78790271737702</v>
      </c>
      <c r="G10" s="1013">
        <f ca="1">tertiair!F16</f>
        <v>2065.1717443146158</v>
      </c>
      <c r="H10" s="1013">
        <f>tertiair!G16</f>
        <v>0</v>
      </c>
      <c r="I10" s="1013">
        <f>tertiair!H16</f>
        <v>0</v>
      </c>
      <c r="J10" s="1013">
        <f>tertiair!I16</f>
        <v>0</v>
      </c>
      <c r="K10" s="1013">
        <f>tertiair!J16</f>
        <v>2.0078690810235576E-2</v>
      </c>
      <c r="L10" s="1013">
        <f>tertiair!K16</f>
        <v>0</v>
      </c>
      <c r="M10" s="1013">
        <f ca="1">tertiair!L16</f>
        <v>0</v>
      </c>
      <c r="N10" s="1013">
        <f>tertiair!M16</f>
        <v>0</v>
      </c>
      <c r="O10" s="1013">
        <f ca="1">tertiair!N16</f>
        <v>815.42449800877387</v>
      </c>
      <c r="P10" s="1013">
        <f>tertiair!O16</f>
        <v>4.6900000000000004</v>
      </c>
      <c r="Q10" s="1014">
        <f>tertiair!P16</f>
        <v>133.46666666666667</v>
      </c>
      <c r="R10" s="700">
        <f ca="1">SUM(C10:Q10)</f>
        <v>27848.336714962905</v>
      </c>
      <c r="S10" s="67"/>
    </row>
    <row r="11" spans="1:19" s="473" customFormat="1">
      <c r="A11" s="809" t="s">
        <v>225</v>
      </c>
      <c r="B11" s="814"/>
      <c r="C11" s="1013">
        <f>huishoudens!B8</f>
        <v>17104.820321516621</v>
      </c>
      <c r="D11" s="1013">
        <f>huishoudens!C8</f>
        <v>0</v>
      </c>
      <c r="E11" s="1013">
        <f>huishoudens!D8</f>
        <v>41856.350571297888</v>
      </c>
      <c r="F11" s="1013">
        <f>huishoudens!E8</f>
        <v>2741.4510097064699</v>
      </c>
      <c r="G11" s="1013">
        <f>huishoudens!F8</f>
        <v>10347.548170605047</v>
      </c>
      <c r="H11" s="1013">
        <f>huishoudens!G8</f>
        <v>0</v>
      </c>
      <c r="I11" s="1013">
        <f>huishoudens!H8</f>
        <v>0</v>
      </c>
      <c r="J11" s="1013">
        <f>huishoudens!I8</f>
        <v>0</v>
      </c>
      <c r="K11" s="1013">
        <f>huishoudens!J8</f>
        <v>1350.4705228568716</v>
      </c>
      <c r="L11" s="1013">
        <f>huishoudens!K8</f>
        <v>0</v>
      </c>
      <c r="M11" s="1013">
        <f>huishoudens!L8</f>
        <v>0</v>
      </c>
      <c r="N11" s="1013">
        <f>huishoudens!M8</f>
        <v>0</v>
      </c>
      <c r="O11" s="1013">
        <f>huishoudens!N8</f>
        <v>14251.601008946609</v>
      </c>
      <c r="P11" s="1013">
        <f>huishoudens!O8</f>
        <v>239.19000000000003</v>
      </c>
      <c r="Q11" s="1014">
        <f>huishoudens!P8</f>
        <v>381.33333333333337</v>
      </c>
      <c r="R11" s="700">
        <f>SUM(C11:Q11)</f>
        <v>88272.764938262844</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18516.951471148026</v>
      </c>
      <c r="D13" s="1013">
        <f>industrie!C18</f>
        <v>0</v>
      </c>
      <c r="E13" s="1013">
        <f>industrie!D18</f>
        <v>14886.200694542422</v>
      </c>
      <c r="F13" s="1013">
        <f>industrie!E18</f>
        <v>1277.3159906220922</v>
      </c>
      <c r="G13" s="1013">
        <f>industrie!F18</f>
        <v>4356.1178902702777</v>
      </c>
      <c r="H13" s="1013">
        <f>industrie!G18</f>
        <v>0</v>
      </c>
      <c r="I13" s="1013">
        <f>industrie!H18</f>
        <v>0</v>
      </c>
      <c r="J13" s="1013">
        <f>industrie!I18</f>
        <v>0</v>
      </c>
      <c r="K13" s="1013">
        <f>industrie!J18</f>
        <v>37.428855195325347</v>
      </c>
      <c r="L13" s="1013">
        <f>industrie!K18</f>
        <v>0</v>
      </c>
      <c r="M13" s="1013">
        <f>industrie!L18</f>
        <v>0</v>
      </c>
      <c r="N13" s="1013">
        <f>industrie!M18</f>
        <v>0</v>
      </c>
      <c r="O13" s="1013">
        <f>industrie!N18</f>
        <v>3488.6393049744756</v>
      </c>
      <c r="P13" s="1013">
        <f>industrie!O18</f>
        <v>0</v>
      </c>
      <c r="Q13" s="1014">
        <f>industrie!P18</f>
        <v>0</v>
      </c>
      <c r="R13" s="700">
        <f>SUM(C13:Q13)</f>
        <v>42562.654206752617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48138.420365524362</v>
      </c>
      <c r="D16" s="732">
        <f t="shared" ref="D16:R16" ca="1" si="0">SUM(D9:D15)</f>
        <v>0</v>
      </c>
      <c r="E16" s="732">
        <f t="shared" ca="1" si="0"/>
        <v>68842.678517545253</v>
      </c>
      <c r="F16" s="732">
        <f t="shared" si="0"/>
        <v>4231.5549030459388</v>
      </c>
      <c r="G16" s="732">
        <f t="shared" ca="1" si="0"/>
        <v>16768.837805189942</v>
      </c>
      <c r="H16" s="732">
        <f t="shared" si="0"/>
        <v>0</v>
      </c>
      <c r="I16" s="732">
        <f t="shared" si="0"/>
        <v>0</v>
      </c>
      <c r="J16" s="732">
        <f t="shared" si="0"/>
        <v>0</v>
      </c>
      <c r="K16" s="732">
        <f t="shared" si="0"/>
        <v>1387.919456743007</v>
      </c>
      <c r="L16" s="732">
        <f t="shared" si="0"/>
        <v>0</v>
      </c>
      <c r="M16" s="732">
        <f t="shared" ca="1" si="0"/>
        <v>0</v>
      </c>
      <c r="N16" s="732">
        <f t="shared" si="0"/>
        <v>0</v>
      </c>
      <c r="O16" s="732">
        <f t="shared" ca="1" si="0"/>
        <v>18555.664811929859</v>
      </c>
      <c r="P16" s="732">
        <f t="shared" si="0"/>
        <v>243.88000000000002</v>
      </c>
      <c r="Q16" s="732">
        <f t="shared" si="0"/>
        <v>514.80000000000007</v>
      </c>
      <c r="R16" s="732">
        <f t="shared" ca="1" si="0"/>
        <v>158683.75585997838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580.01757603697035</v>
      </c>
      <c r="I19" s="1013">
        <f>transport!H54</f>
        <v>0</v>
      </c>
      <c r="J19" s="1013">
        <f>transport!I54</f>
        <v>0</v>
      </c>
      <c r="K19" s="1013">
        <f>transport!J54</f>
        <v>0</v>
      </c>
      <c r="L19" s="1013">
        <f>transport!K54</f>
        <v>0</v>
      </c>
      <c r="M19" s="1013">
        <f>transport!L54</f>
        <v>0</v>
      </c>
      <c r="N19" s="1013">
        <f>transport!M54</f>
        <v>32.942437787006106</v>
      </c>
      <c r="O19" s="1013">
        <f>transport!N54</f>
        <v>0</v>
      </c>
      <c r="P19" s="1013">
        <f>transport!O54</f>
        <v>0</v>
      </c>
      <c r="Q19" s="1014">
        <f>transport!P54</f>
        <v>0</v>
      </c>
      <c r="R19" s="700">
        <f>SUM(C19:Q19)</f>
        <v>612.96001382397651</v>
      </c>
      <c r="S19" s="67"/>
    </row>
    <row r="20" spans="1:19" s="473" customFormat="1">
      <c r="A20" s="809" t="s">
        <v>307</v>
      </c>
      <c r="B20" s="814"/>
      <c r="C20" s="1013">
        <f>transport!B14</f>
        <v>25.736066706670652</v>
      </c>
      <c r="D20" s="1013">
        <f>transport!C14</f>
        <v>0</v>
      </c>
      <c r="E20" s="1013">
        <f>transport!D14</f>
        <v>86.888262024627267</v>
      </c>
      <c r="F20" s="1013">
        <f>transport!E14</f>
        <v>116.46544110249873</v>
      </c>
      <c r="G20" s="1013">
        <f>transport!F14</f>
        <v>0</v>
      </c>
      <c r="H20" s="1013">
        <f>transport!G14</f>
        <v>50735.75280792782</v>
      </c>
      <c r="I20" s="1013">
        <f>transport!H14</f>
        <v>9817.819095226796</v>
      </c>
      <c r="J20" s="1013">
        <f>transport!I14</f>
        <v>0</v>
      </c>
      <c r="K20" s="1013">
        <f>transport!J14</f>
        <v>0</v>
      </c>
      <c r="L20" s="1013">
        <f>transport!K14</f>
        <v>0</v>
      </c>
      <c r="M20" s="1013">
        <f>transport!L14</f>
        <v>0</v>
      </c>
      <c r="N20" s="1013">
        <f>transport!M14</f>
        <v>3253.8986661354575</v>
      </c>
      <c r="O20" s="1013">
        <f>transport!N14</f>
        <v>0</v>
      </c>
      <c r="P20" s="1013">
        <f>transport!O14</f>
        <v>0</v>
      </c>
      <c r="Q20" s="1014">
        <f>transport!P14</f>
        <v>0</v>
      </c>
      <c r="R20" s="700">
        <f>SUM(C20:Q20)</f>
        <v>64036.560339123869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25.736066706670652</v>
      </c>
      <c r="D22" s="812">
        <f t="shared" ref="D22:R22" si="1">SUM(D18:D21)</f>
        <v>0</v>
      </c>
      <c r="E22" s="812">
        <f t="shared" si="1"/>
        <v>86.888262024627267</v>
      </c>
      <c r="F22" s="812">
        <f t="shared" si="1"/>
        <v>116.46544110249873</v>
      </c>
      <c r="G22" s="812">
        <f t="shared" si="1"/>
        <v>0</v>
      </c>
      <c r="H22" s="812">
        <f t="shared" si="1"/>
        <v>51315.770383964787</v>
      </c>
      <c r="I22" s="812">
        <f t="shared" si="1"/>
        <v>9817.819095226796</v>
      </c>
      <c r="J22" s="812">
        <f t="shared" si="1"/>
        <v>0</v>
      </c>
      <c r="K22" s="812">
        <f t="shared" si="1"/>
        <v>0</v>
      </c>
      <c r="L22" s="812">
        <f t="shared" si="1"/>
        <v>0</v>
      </c>
      <c r="M22" s="812">
        <f t="shared" si="1"/>
        <v>0</v>
      </c>
      <c r="N22" s="812">
        <f t="shared" si="1"/>
        <v>3286.8411039224634</v>
      </c>
      <c r="O22" s="812">
        <f t="shared" si="1"/>
        <v>0</v>
      </c>
      <c r="P22" s="812">
        <f t="shared" si="1"/>
        <v>0</v>
      </c>
      <c r="Q22" s="812">
        <f t="shared" si="1"/>
        <v>0</v>
      </c>
      <c r="R22" s="812">
        <f t="shared" si="1"/>
        <v>64649.520352947846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3565.7404880506051</v>
      </c>
      <c r="D24" s="1013">
        <f>+landbouw!C8</f>
        <v>31422.857142857145</v>
      </c>
      <c r="E24" s="1013">
        <f>+landbouw!D8</f>
        <v>10380.495053554652</v>
      </c>
      <c r="F24" s="1013">
        <f>+landbouw!E8</f>
        <v>104.80800397231661</v>
      </c>
      <c r="G24" s="1013">
        <f>+landbouw!F8</f>
        <v>14854.682190716303</v>
      </c>
      <c r="H24" s="1013">
        <f>+landbouw!G8</f>
        <v>0</v>
      </c>
      <c r="I24" s="1013">
        <f>+landbouw!H8</f>
        <v>0</v>
      </c>
      <c r="J24" s="1013">
        <f>+landbouw!I8</f>
        <v>0</v>
      </c>
      <c r="K24" s="1013">
        <f>+landbouw!J8</f>
        <v>516.59922156500465</v>
      </c>
      <c r="L24" s="1013">
        <f>+landbouw!K8</f>
        <v>0</v>
      </c>
      <c r="M24" s="1013">
        <f>+landbouw!L8</f>
        <v>0</v>
      </c>
      <c r="N24" s="1013">
        <f>+landbouw!M8</f>
        <v>0</v>
      </c>
      <c r="O24" s="1013">
        <f>+landbouw!N8</f>
        <v>0</v>
      </c>
      <c r="P24" s="1013">
        <f>+landbouw!O8</f>
        <v>0</v>
      </c>
      <c r="Q24" s="1014">
        <f>+landbouw!P8</f>
        <v>0</v>
      </c>
      <c r="R24" s="700">
        <f>SUM(C24:Q24)</f>
        <v>60845.182100716025</v>
      </c>
      <c r="S24" s="67"/>
    </row>
    <row r="25" spans="1:19" s="473" customFormat="1" ht="15" thickBot="1">
      <c r="A25" s="831" t="s">
        <v>836</v>
      </c>
      <c r="B25" s="1016"/>
      <c r="C25" s="1017">
        <f>IF(Onbekend_ele_kWh="---",0,Onbekend_ele_kWh)/1000+IF(REST_rest_ele_kWh="---",0,REST_rest_ele_kWh)/1000</f>
        <v>753.48068586828595</v>
      </c>
      <c r="D25" s="1017"/>
      <c r="E25" s="1017">
        <f>IF(onbekend_gas_kWh="---",0,onbekend_gas_kWh)/1000+IF(REST_rest_gas_kWh="---",0,REST_rest_gas_kWh)/1000</f>
        <v>1831.62972603498</v>
      </c>
      <c r="F25" s="1017"/>
      <c r="G25" s="1017"/>
      <c r="H25" s="1017"/>
      <c r="I25" s="1017"/>
      <c r="J25" s="1017"/>
      <c r="K25" s="1017"/>
      <c r="L25" s="1017"/>
      <c r="M25" s="1017"/>
      <c r="N25" s="1017"/>
      <c r="O25" s="1017"/>
      <c r="P25" s="1017"/>
      <c r="Q25" s="1018"/>
      <c r="R25" s="700">
        <f>SUM(C25:Q25)</f>
        <v>2585.1104119032661</v>
      </c>
      <c r="S25" s="67"/>
    </row>
    <row r="26" spans="1:19" s="473" customFormat="1" ht="15.75" thickBot="1">
      <c r="A26" s="705" t="s">
        <v>837</v>
      </c>
      <c r="B26" s="817"/>
      <c r="C26" s="812">
        <f>SUM(C24:C25)</f>
        <v>4319.2211739188915</v>
      </c>
      <c r="D26" s="812">
        <f t="shared" ref="D26:R26" si="2">SUM(D24:D25)</f>
        <v>31422.857142857145</v>
      </c>
      <c r="E26" s="812">
        <f t="shared" si="2"/>
        <v>12212.124779589632</v>
      </c>
      <c r="F26" s="812">
        <f t="shared" si="2"/>
        <v>104.80800397231661</v>
      </c>
      <c r="G26" s="812">
        <f t="shared" si="2"/>
        <v>14854.682190716303</v>
      </c>
      <c r="H26" s="812">
        <f t="shared" si="2"/>
        <v>0</v>
      </c>
      <c r="I26" s="812">
        <f t="shared" si="2"/>
        <v>0</v>
      </c>
      <c r="J26" s="812">
        <f t="shared" si="2"/>
        <v>0</v>
      </c>
      <c r="K26" s="812">
        <f t="shared" si="2"/>
        <v>516.59922156500465</v>
      </c>
      <c r="L26" s="812">
        <f t="shared" si="2"/>
        <v>0</v>
      </c>
      <c r="M26" s="812">
        <f t="shared" si="2"/>
        <v>0</v>
      </c>
      <c r="N26" s="812">
        <f t="shared" si="2"/>
        <v>0</v>
      </c>
      <c r="O26" s="812">
        <f t="shared" si="2"/>
        <v>0</v>
      </c>
      <c r="P26" s="812">
        <f t="shared" si="2"/>
        <v>0</v>
      </c>
      <c r="Q26" s="812">
        <f t="shared" si="2"/>
        <v>0</v>
      </c>
      <c r="R26" s="812">
        <f t="shared" si="2"/>
        <v>63430.292512619293</v>
      </c>
      <c r="S26" s="67"/>
    </row>
    <row r="27" spans="1:19" s="473" customFormat="1" ht="17.25" thickTop="1" thickBot="1">
      <c r="A27" s="706" t="s">
        <v>116</v>
      </c>
      <c r="B27" s="805"/>
      <c r="C27" s="707">
        <f ca="1">C22+C16+C26</f>
        <v>52483.377606149923</v>
      </c>
      <c r="D27" s="707">
        <f t="shared" ref="D27:R27" ca="1" si="3">D22+D16+D26</f>
        <v>31422.857142857145</v>
      </c>
      <c r="E27" s="707">
        <f t="shared" ca="1" si="3"/>
        <v>81141.691559159517</v>
      </c>
      <c r="F27" s="707">
        <f t="shared" si="3"/>
        <v>4452.8283481207536</v>
      </c>
      <c r="G27" s="707">
        <f t="shared" ca="1" si="3"/>
        <v>31623.519995906245</v>
      </c>
      <c r="H27" s="707">
        <f t="shared" si="3"/>
        <v>51315.770383964787</v>
      </c>
      <c r="I27" s="707">
        <f t="shared" si="3"/>
        <v>9817.819095226796</v>
      </c>
      <c r="J27" s="707">
        <f t="shared" si="3"/>
        <v>0</v>
      </c>
      <c r="K27" s="707">
        <f t="shared" si="3"/>
        <v>1904.5186783080117</v>
      </c>
      <c r="L27" s="707">
        <f t="shared" si="3"/>
        <v>0</v>
      </c>
      <c r="M27" s="707">
        <f t="shared" ca="1" si="3"/>
        <v>0</v>
      </c>
      <c r="N27" s="707">
        <f t="shared" si="3"/>
        <v>3286.8411039224634</v>
      </c>
      <c r="O27" s="707">
        <f t="shared" ca="1" si="3"/>
        <v>18555.664811929859</v>
      </c>
      <c r="P27" s="707">
        <f t="shared" si="3"/>
        <v>243.88000000000002</v>
      </c>
      <c r="Q27" s="707">
        <f t="shared" si="3"/>
        <v>514.80000000000007</v>
      </c>
      <c r="R27" s="707">
        <f t="shared" ca="1" si="3"/>
        <v>286763.56872554554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2652.912770295723</v>
      </c>
      <c r="D40" s="1013">
        <f ca="1">tertiair!C20</f>
        <v>0</v>
      </c>
      <c r="E40" s="1013">
        <f ca="1">tertiair!D20</f>
        <v>2444.2257048443994</v>
      </c>
      <c r="F40" s="1013">
        <f>tertiair!E20</f>
        <v>48.302853916844583</v>
      </c>
      <c r="G40" s="1013">
        <f ca="1">tertiair!F20</f>
        <v>551.40085573200247</v>
      </c>
      <c r="H40" s="1013">
        <f>tertiair!G20</f>
        <v>0</v>
      </c>
      <c r="I40" s="1013">
        <f>tertiair!H20</f>
        <v>0</v>
      </c>
      <c r="J40" s="1013">
        <f>tertiair!I20</f>
        <v>0</v>
      </c>
      <c r="K40" s="1013">
        <f>tertiair!J20</f>
        <v>7.1078565468233939E-3</v>
      </c>
      <c r="L40" s="1013">
        <f>tertiair!K20</f>
        <v>0</v>
      </c>
      <c r="M40" s="1013">
        <f ca="1">tertiair!L20</f>
        <v>0</v>
      </c>
      <c r="N40" s="1013">
        <f>tertiair!M20</f>
        <v>0</v>
      </c>
      <c r="O40" s="1013">
        <f ca="1">tertiair!N20</f>
        <v>0</v>
      </c>
      <c r="P40" s="1013">
        <f>tertiair!O20</f>
        <v>0</v>
      </c>
      <c r="Q40" s="774">
        <f>tertiair!P20</f>
        <v>0</v>
      </c>
      <c r="R40" s="850">
        <f t="shared" ca="1" si="4"/>
        <v>5696.8492926455156</v>
      </c>
    </row>
    <row r="41" spans="1:18">
      <c r="A41" s="822" t="s">
        <v>225</v>
      </c>
      <c r="B41" s="829"/>
      <c r="C41" s="1013">
        <f ca="1">huishoudens!B12</f>
        <v>3625.3791101045258</v>
      </c>
      <c r="D41" s="1013">
        <f ca="1">huishoudens!C12</f>
        <v>0</v>
      </c>
      <c r="E41" s="1013">
        <f>huishoudens!D12</f>
        <v>8454.9828154021743</v>
      </c>
      <c r="F41" s="1013">
        <f>huishoudens!E12</f>
        <v>622.30937920336874</v>
      </c>
      <c r="G41" s="1013">
        <f>huishoudens!F12</f>
        <v>2762.7953615515476</v>
      </c>
      <c r="H41" s="1013">
        <f>huishoudens!G12</f>
        <v>0</v>
      </c>
      <c r="I41" s="1013">
        <f>huishoudens!H12</f>
        <v>0</v>
      </c>
      <c r="J41" s="1013">
        <f>huishoudens!I12</f>
        <v>0</v>
      </c>
      <c r="K41" s="1013">
        <f>huishoudens!J12</f>
        <v>478.06656509133256</v>
      </c>
      <c r="L41" s="1013">
        <f>huishoudens!K12</f>
        <v>0</v>
      </c>
      <c r="M41" s="1013">
        <f>huishoudens!L12</f>
        <v>0</v>
      </c>
      <c r="N41" s="1013">
        <f>huishoudens!M12</f>
        <v>0</v>
      </c>
      <c r="O41" s="1013">
        <f>huishoudens!N12</f>
        <v>0</v>
      </c>
      <c r="P41" s="1013">
        <f>huishoudens!O12</f>
        <v>0</v>
      </c>
      <c r="Q41" s="774">
        <f>huishoudens!P12</f>
        <v>0</v>
      </c>
      <c r="R41" s="850">
        <f t="shared" ca="1" si="4"/>
        <v>15943.533231352949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3924.6813345284572</v>
      </c>
      <c r="D43" s="1013">
        <f ca="1">industrie!C22</f>
        <v>0</v>
      </c>
      <c r="E43" s="1013">
        <f>industrie!D22</f>
        <v>3007.0125402975696</v>
      </c>
      <c r="F43" s="1013">
        <f>industrie!E22</f>
        <v>289.95072987121495</v>
      </c>
      <c r="G43" s="1013">
        <f>industrie!F22</f>
        <v>1163.0834767021643</v>
      </c>
      <c r="H43" s="1013">
        <f>industrie!G22</f>
        <v>0</v>
      </c>
      <c r="I43" s="1013">
        <f>industrie!H22</f>
        <v>0</v>
      </c>
      <c r="J43" s="1013">
        <f>industrie!I22</f>
        <v>0</v>
      </c>
      <c r="K43" s="1013">
        <f>industrie!J22</f>
        <v>13.249814739145172</v>
      </c>
      <c r="L43" s="1013">
        <f>industrie!K22</f>
        <v>0</v>
      </c>
      <c r="M43" s="1013">
        <f>industrie!L22</f>
        <v>0</v>
      </c>
      <c r="N43" s="1013">
        <f>industrie!M22</f>
        <v>0</v>
      </c>
      <c r="O43" s="1013">
        <f>industrie!N22</f>
        <v>0</v>
      </c>
      <c r="P43" s="1013">
        <f>industrie!O22</f>
        <v>0</v>
      </c>
      <c r="Q43" s="774">
        <f>industrie!P22</f>
        <v>0</v>
      </c>
      <c r="R43" s="849">
        <f t="shared" ca="1" si="4"/>
        <v>8397.9778961385528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10202.973214928707</v>
      </c>
      <c r="D46" s="732">
        <f t="shared" ref="D46:Q46" ca="1" si="5">SUM(D39:D45)</f>
        <v>0</v>
      </c>
      <c r="E46" s="732">
        <f t="shared" ca="1" si="5"/>
        <v>13906.221060544143</v>
      </c>
      <c r="F46" s="732">
        <f t="shared" si="5"/>
        <v>960.56296299142832</v>
      </c>
      <c r="G46" s="732">
        <f t="shared" ca="1" si="5"/>
        <v>4477.2796939857144</v>
      </c>
      <c r="H46" s="732">
        <f t="shared" si="5"/>
        <v>0</v>
      </c>
      <c r="I46" s="732">
        <f t="shared" si="5"/>
        <v>0</v>
      </c>
      <c r="J46" s="732">
        <f t="shared" si="5"/>
        <v>0</v>
      </c>
      <c r="K46" s="732">
        <f t="shared" si="5"/>
        <v>491.32348768702457</v>
      </c>
      <c r="L46" s="732">
        <f t="shared" si="5"/>
        <v>0</v>
      </c>
      <c r="M46" s="732">
        <f t="shared" ca="1" si="5"/>
        <v>0</v>
      </c>
      <c r="N46" s="732">
        <f t="shared" si="5"/>
        <v>0</v>
      </c>
      <c r="O46" s="732">
        <f t="shared" ca="1" si="5"/>
        <v>0</v>
      </c>
      <c r="P46" s="732">
        <f t="shared" si="5"/>
        <v>0</v>
      </c>
      <c r="Q46" s="732">
        <f t="shared" si="5"/>
        <v>0</v>
      </c>
      <c r="R46" s="732">
        <f ca="1">SUM(R39:R45)</f>
        <v>30038.360420137018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154.86469280187109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154.86469280187109</v>
      </c>
    </row>
    <row r="50" spans="1:18">
      <c r="A50" s="825" t="s">
        <v>307</v>
      </c>
      <c r="B50" s="835"/>
      <c r="C50" s="703">
        <f ca="1">transport!B18</f>
        <v>5.4547780602671381</v>
      </c>
      <c r="D50" s="703">
        <f>transport!C18</f>
        <v>0</v>
      </c>
      <c r="E50" s="703">
        <f>transport!D18</f>
        <v>17.551428928974708</v>
      </c>
      <c r="F50" s="703">
        <f>transport!E18</f>
        <v>26.437655130267213</v>
      </c>
      <c r="G50" s="703">
        <f>transport!F18</f>
        <v>0</v>
      </c>
      <c r="H50" s="703">
        <f>transport!G18</f>
        <v>13546.445999716729</v>
      </c>
      <c r="I50" s="703">
        <f>transport!H18</f>
        <v>2444.6369547114723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16040.52681654771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5.4547780602671381</v>
      </c>
      <c r="D52" s="732">
        <f t="shared" ref="D52:Q52" ca="1" si="6">SUM(D48:D51)</f>
        <v>0</v>
      </c>
      <c r="E52" s="732">
        <f t="shared" si="6"/>
        <v>17.551428928974708</v>
      </c>
      <c r="F52" s="732">
        <f t="shared" si="6"/>
        <v>26.437655130267213</v>
      </c>
      <c r="G52" s="732">
        <f t="shared" si="6"/>
        <v>0</v>
      </c>
      <c r="H52" s="732">
        <f t="shared" si="6"/>
        <v>13701.3106925186</v>
      </c>
      <c r="I52" s="732">
        <f t="shared" si="6"/>
        <v>2444.6369547114723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16195.391509349582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755.76129035223778</v>
      </c>
      <c r="D54" s="703">
        <f ca="1">+landbouw!C12</f>
        <v>7467.5495798319334</v>
      </c>
      <c r="E54" s="703">
        <f>+landbouw!D12</f>
        <v>2096.8600008180397</v>
      </c>
      <c r="F54" s="703">
        <f>+landbouw!E12</f>
        <v>23.791416901715873</v>
      </c>
      <c r="G54" s="703">
        <f>+landbouw!F12</f>
        <v>3966.200144921253</v>
      </c>
      <c r="H54" s="703">
        <f>+landbouw!G12</f>
        <v>0</v>
      </c>
      <c r="I54" s="703">
        <f>+landbouw!H12</f>
        <v>0</v>
      </c>
      <c r="J54" s="703">
        <f>+landbouw!I12</f>
        <v>0</v>
      </c>
      <c r="K54" s="703">
        <f>+landbouw!J12</f>
        <v>182.87612443401164</v>
      </c>
      <c r="L54" s="703">
        <f>+landbouw!K12</f>
        <v>0</v>
      </c>
      <c r="M54" s="703">
        <f>+landbouw!L12</f>
        <v>0</v>
      </c>
      <c r="N54" s="703">
        <f>+landbouw!M12</f>
        <v>0</v>
      </c>
      <c r="O54" s="703">
        <f>+landbouw!N12</f>
        <v>0</v>
      </c>
      <c r="P54" s="703">
        <f>+landbouw!O12</f>
        <v>0</v>
      </c>
      <c r="Q54" s="704">
        <f>+landbouw!P12</f>
        <v>0</v>
      </c>
      <c r="R54" s="731">
        <f ca="1">SUM(C54:Q54)</f>
        <v>14493.038557259193</v>
      </c>
    </row>
    <row r="55" spans="1:18" ht="15" thickBot="1">
      <c r="A55" s="825" t="s">
        <v>836</v>
      </c>
      <c r="B55" s="835"/>
      <c r="C55" s="703">
        <f ca="1">C25*'EF ele_warmte'!B12</f>
        <v>159.70077949184261</v>
      </c>
      <c r="D55" s="703"/>
      <c r="E55" s="703">
        <f>E25*EF_CO2_aardgas</f>
        <v>369.98920465906599</v>
      </c>
      <c r="F55" s="703"/>
      <c r="G55" s="703"/>
      <c r="H55" s="703"/>
      <c r="I55" s="703"/>
      <c r="J55" s="703"/>
      <c r="K55" s="703"/>
      <c r="L55" s="703"/>
      <c r="M55" s="703"/>
      <c r="N55" s="703"/>
      <c r="O55" s="703"/>
      <c r="P55" s="703"/>
      <c r="Q55" s="704"/>
      <c r="R55" s="731">
        <f ca="1">SUM(C55:Q55)</f>
        <v>529.68998415090857</v>
      </c>
    </row>
    <row r="56" spans="1:18" ht="15.75" thickBot="1">
      <c r="A56" s="823" t="s">
        <v>837</v>
      </c>
      <c r="B56" s="836"/>
      <c r="C56" s="732">
        <f ca="1">SUM(C54:C55)</f>
        <v>915.46206984408036</v>
      </c>
      <c r="D56" s="732">
        <f t="shared" ref="D56:Q56" ca="1" si="7">SUM(D54:D55)</f>
        <v>7467.5495798319334</v>
      </c>
      <c r="E56" s="732">
        <f t="shared" si="7"/>
        <v>2466.8492054771059</v>
      </c>
      <c r="F56" s="732">
        <f t="shared" si="7"/>
        <v>23.791416901715873</v>
      </c>
      <c r="G56" s="732">
        <f t="shared" si="7"/>
        <v>3966.200144921253</v>
      </c>
      <c r="H56" s="732">
        <f t="shared" si="7"/>
        <v>0</v>
      </c>
      <c r="I56" s="732">
        <f t="shared" si="7"/>
        <v>0</v>
      </c>
      <c r="J56" s="732">
        <f t="shared" si="7"/>
        <v>0</v>
      </c>
      <c r="K56" s="732">
        <f t="shared" si="7"/>
        <v>182.87612443401164</v>
      </c>
      <c r="L56" s="732">
        <f t="shared" si="7"/>
        <v>0</v>
      </c>
      <c r="M56" s="732">
        <f t="shared" si="7"/>
        <v>0</v>
      </c>
      <c r="N56" s="732">
        <f t="shared" si="7"/>
        <v>0</v>
      </c>
      <c r="O56" s="732">
        <f t="shared" si="7"/>
        <v>0</v>
      </c>
      <c r="P56" s="732">
        <f t="shared" si="7"/>
        <v>0</v>
      </c>
      <c r="Q56" s="733">
        <f t="shared" si="7"/>
        <v>0</v>
      </c>
      <c r="R56" s="734">
        <f ca="1">SUM(R54:R55)</f>
        <v>15022.728541410102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11123.890062833056</v>
      </c>
      <c r="D61" s="740">
        <f t="shared" ref="D61:Q61" ca="1" si="8">D46+D52+D56</f>
        <v>7467.5495798319334</v>
      </c>
      <c r="E61" s="740">
        <f t="shared" ca="1" si="8"/>
        <v>16390.621694950223</v>
      </c>
      <c r="F61" s="740">
        <f t="shared" si="8"/>
        <v>1010.7920350234114</v>
      </c>
      <c r="G61" s="740">
        <f t="shared" ca="1" si="8"/>
        <v>8443.4798389069674</v>
      </c>
      <c r="H61" s="740">
        <f t="shared" si="8"/>
        <v>13701.3106925186</v>
      </c>
      <c r="I61" s="740">
        <f t="shared" si="8"/>
        <v>2444.6369547114723</v>
      </c>
      <c r="J61" s="740">
        <f t="shared" si="8"/>
        <v>0</v>
      </c>
      <c r="K61" s="740">
        <f t="shared" si="8"/>
        <v>674.19961212103624</v>
      </c>
      <c r="L61" s="740">
        <f t="shared" si="8"/>
        <v>0</v>
      </c>
      <c r="M61" s="740">
        <f t="shared" ca="1" si="8"/>
        <v>0</v>
      </c>
      <c r="N61" s="740">
        <f t="shared" si="8"/>
        <v>0</v>
      </c>
      <c r="O61" s="740">
        <f t="shared" ca="1" si="8"/>
        <v>0</v>
      </c>
      <c r="P61" s="740">
        <f t="shared" si="8"/>
        <v>0</v>
      </c>
      <c r="Q61" s="740">
        <f t="shared" si="8"/>
        <v>0</v>
      </c>
      <c r="R61" s="740">
        <f ca="1">R46+R52+R56</f>
        <v>61256.480470896699</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0.21195072745336374</v>
      </c>
      <c r="D63" s="781">
        <f t="shared" ca="1" si="9"/>
        <v>0.23764705882352941</v>
      </c>
      <c r="E63" s="1024">
        <f t="shared" ca="1" si="9"/>
        <v>0.20200000000000001</v>
      </c>
      <c r="F63" s="781">
        <f t="shared" si="9"/>
        <v>0.22700000000000006</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3805.9054027530869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21996</v>
      </c>
      <c r="D76" s="1034">
        <f>'lokale energieproductie'!C8</f>
        <v>25877.647058823532</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5227.2847058823536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3805.9054027530869</v>
      </c>
      <c r="C78" s="755">
        <f>SUM(C72:C77)</f>
        <v>21996</v>
      </c>
      <c r="D78" s="756">
        <f t="shared" ref="D78:H78" si="10">SUM(D76:D77)</f>
        <v>25877.647058823532</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5227.2847058823536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31422.857142857145</v>
      </c>
      <c r="D87" s="777">
        <f>'lokale energieproductie'!C17</f>
        <v>36968.067226890758</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7467.5495798319334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31422.857142857145</v>
      </c>
      <c r="D90" s="755">
        <f t="shared" ref="D90:H90" si="12">SUM(D87:D89)</f>
        <v>36968.067226890758</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7467.5495798319334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3805.9054027530869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21996</v>
      </c>
      <c r="C8" s="570">
        <f>B101</f>
        <v>25877.647058823532</v>
      </c>
      <c r="D8" s="1044"/>
      <c r="E8" s="1044">
        <f>E101</f>
        <v>0</v>
      </c>
      <c r="F8" s="1045"/>
      <c r="G8" s="571"/>
      <c r="H8" s="1044">
        <f>I101</f>
        <v>0</v>
      </c>
      <c r="I8" s="1044">
        <f>G101+F101</f>
        <v>0</v>
      </c>
      <c r="J8" s="1044">
        <f>H101+D101+C101</f>
        <v>0</v>
      </c>
      <c r="K8" s="1044"/>
      <c r="L8" s="1044"/>
      <c r="M8" s="1044"/>
      <c r="N8" s="572"/>
      <c r="O8" s="573">
        <f>C8*$C$12+D8*$D$12+E8*$E$12+F8*$F$12+G8*$G$12+H8*$H$12+I8*$I$12+J8*$J$12</f>
        <v>5227.2847058823536</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25801.905402753087</v>
      </c>
      <c r="C10" s="583">
        <f t="shared" ref="C10:L10" si="0">SUM(C8:C9)</f>
        <v>25877.647058823532</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5227.2847058823536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31422.857142857145</v>
      </c>
      <c r="C17" s="595">
        <f>B102</f>
        <v>36968.067226890758</v>
      </c>
      <c r="D17" s="596"/>
      <c r="E17" s="596">
        <f>E102</f>
        <v>0</v>
      </c>
      <c r="F17" s="1050"/>
      <c r="G17" s="597"/>
      <c r="H17" s="595">
        <f>I102</f>
        <v>0</v>
      </c>
      <c r="I17" s="596">
        <f>G102+F102</f>
        <v>0</v>
      </c>
      <c r="J17" s="596">
        <f>H102+D102+C102</f>
        <v>0</v>
      </c>
      <c r="K17" s="596"/>
      <c r="L17" s="596"/>
      <c r="M17" s="596"/>
      <c r="N17" s="1051"/>
      <c r="O17" s="598">
        <f>C17*$C$22+E17*$E$22+H17*$H$22+I17*$I$22+J17*$J$22+D17*$D$22+F17*$F$22+G17*$G$22+K17*$K$22+L17*$L$22</f>
        <v>7467.5495798319334</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31422.857142857145</v>
      </c>
      <c r="C20" s="582">
        <f>SUM(C17:C19)</f>
        <v>36968.067226890758</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7467.5495798319334</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36007</v>
      </c>
      <c r="C28" s="796">
        <v>8770</v>
      </c>
      <c r="D28" s="653" t="s">
        <v>881</v>
      </c>
      <c r="E28" s="652" t="s">
        <v>882</v>
      </c>
      <c r="F28" s="652" t="s">
        <v>883</v>
      </c>
      <c r="G28" s="652" t="s">
        <v>884</v>
      </c>
      <c r="H28" s="652" t="s">
        <v>885</v>
      </c>
      <c r="I28" s="652" t="s">
        <v>882</v>
      </c>
      <c r="J28" s="795">
        <v>41810</v>
      </c>
      <c r="K28" s="795">
        <v>40550</v>
      </c>
      <c r="L28" s="652" t="s">
        <v>886</v>
      </c>
      <c r="M28" s="652">
        <v>3488</v>
      </c>
      <c r="N28" s="652">
        <v>15696</v>
      </c>
      <c r="O28" s="652">
        <v>22422.857142857145</v>
      </c>
      <c r="P28" s="652">
        <v>44845.71428571429</v>
      </c>
      <c r="Q28" s="652">
        <v>0</v>
      </c>
      <c r="R28" s="652">
        <v>0</v>
      </c>
      <c r="S28" s="652">
        <v>0</v>
      </c>
      <c r="T28" s="652">
        <v>0</v>
      </c>
      <c r="U28" s="652">
        <v>0</v>
      </c>
      <c r="V28" s="652">
        <v>0</v>
      </c>
      <c r="W28" s="652">
        <v>0</v>
      </c>
      <c r="X28" s="652">
        <v>10</v>
      </c>
      <c r="Y28" s="652" t="s">
        <v>112</v>
      </c>
      <c r="Z28" s="654" t="s">
        <v>112</v>
      </c>
    </row>
    <row r="29" spans="1:26" s="606" customFormat="1" ht="25.5">
      <c r="A29" s="605"/>
      <c r="B29" s="796">
        <v>36007</v>
      </c>
      <c r="C29" s="796">
        <v>8770</v>
      </c>
      <c r="D29" s="653" t="s">
        <v>887</v>
      </c>
      <c r="E29" s="652" t="s">
        <v>888</v>
      </c>
      <c r="F29" s="652" t="s">
        <v>889</v>
      </c>
      <c r="G29" s="652" t="s">
        <v>884</v>
      </c>
      <c r="H29" s="652" t="s">
        <v>885</v>
      </c>
      <c r="I29" s="652" t="s">
        <v>888</v>
      </c>
      <c r="J29" s="795">
        <v>40681</v>
      </c>
      <c r="K29" s="795">
        <v>40681</v>
      </c>
      <c r="L29" s="652" t="s">
        <v>886</v>
      </c>
      <c r="M29" s="652">
        <v>1400</v>
      </c>
      <c r="N29" s="652">
        <v>6300</v>
      </c>
      <c r="O29" s="652">
        <v>9000</v>
      </c>
      <c r="P29" s="652">
        <v>18000</v>
      </c>
      <c r="Q29" s="652">
        <v>0</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4888</v>
      </c>
      <c r="N58" s="610">
        <f>SUM(N28:N57)</f>
        <v>21996</v>
      </c>
      <c r="O58" s="610">
        <f t="shared" ref="O58:W58" si="2">SUM(O28:O57)</f>
        <v>31422.857142857145</v>
      </c>
      <c r="P58" s="610">
        <f t="shared" si="2"/>
        <v>62845.71428571429</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4888</v>
      </c>
      <c r="N61" s="615">
        <f t="shared" si="4"/>
        <v>21996</v>
      </c>
      <c r="O61" s="615">
        <f t="shared" si="4"/>
        <v>31422.857142857145</v>
      </c>
      <c r="P61" s="615">
        <f t="shared" si="4"/>
        <v>62845.71428571429</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25877.647058823532</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36968.067226890758</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17104.820321516621</v>
      </c>
      <c r="C4" s="477">
        <f>huishoudens!C8</f>
        <v>0</v>
      </c>
      <c r="D4" s="477">
        <f>huishoudens!D8</f>
        <v>41856.350571297888</v>
      </c>
      <c r="E4" s="477">
        <f>huishoudens!E8</f>
        <v>2741.4510097064699</v>
      </c>
      <c r="F4" s="477">
        <f>huishoudens!F8</f>
        <v>10347.548170605047</v>
      </c>
      <c r="G4" s="477">
        <f>huishoudens!G8</f>
        <v>0</v>
      </c>
      <c r="H4" s="477">
        <f>huishoudens!H8</f>
        <v>0</v>
      </c>
      <c r="I4" s="477">
        <f>huishoudens!I8</f>
        <v>0</v>
      </c>
      <c r="J4" s="477">
        <f>huishoudens!J8</f>
        <v>1350.4705228568716</v>
      </c>
      <c r="K4" s="477">
        <f>huishoudens!K8</f>
        <v>0</v>
      </c>
      <c r="L4" s="477">
        <f>huishoudens!L8</f>
        <v>0</v>
      </c>
      <c r="M4" s="477">
        <f>huishoudens!M8</f>
        <v>0</v>
      </c>
      <c r="N4" s="477">
        <f>huishoudens!N8</f>
        <v>14251.601008946609</v>
      </c>
      <c r="O4" s="477">
        <f>huishoudens!O8</f>
        <v>239.19000000000003</v>
      </c>
      <c r="P4" s="478">
        <f>huishoudens!P8</f>
        <v>381.33333333333337</v>
      </c>
      <c r="Q4" s="479">
        <f>SUM(B4:P4)</f>
        <v>88272.764938262844</v>
      </c>
    </row>
    <row r="5" spans="1:17">
      <c r="A5" s="476" t="s">
        <v>156</v>
      </c>
      <c r="B5" s="477">
        <f ca="1">tertiair!B16</f>
        <v>11709.022572859714</v>
      </c>
      <c r="C5" s="477">
        <f ca="1">tertiair!C16</f>
        <v>0</v>
      </c>
      <c r="D5" s="477">
        <f ca="1">tertiair!D16</f>
        <v>12100.127251704947</v>
      </c>
      <c r="E5" s="477">
        <f>tertiair!E16</f>
        <v>212.78790271737702</v>
      </c>
      <c r="F5" s="477">
        <f ca="1">tertiair!F16</f>
        <v>2065.1717443146158</v>
      </c>
      <c r="G5" s="477">
        <f>tertiair!G16</f>
        <v>0</v>
      </c>
      <c r="H5" s="477">
        <f>tertiair!H16</f>
        <v>0</v>
      </c>
      <c r="I5" s="477">
        <f>tertiair!I16</f>
        <v>0</v>
      </c>
      <c r="J5" s="477">
        <f>tertiair!J16</f>
        <v>2.0078690810235576E-2</v>
      </c>
      <c r="K5" s="477">
        <f>tertiair!K16</f>
        <v>0</v>
      </c>
      <c r="L5" s="477">
        <f ca="1">tertiair!L16</f>
        <v>0</v>
      </c>
      <c r="M5" s="477">
        <f>tertiair!M16</f>
        <v>0</v>
      </c>
      <c r="N5" s="477">
        <f ca="1">tertiair!N16</f>
        <v>815.42449800877387</v>
      </c>
      <c r="O5" s="477">
        <f>tertiair!O16</f>
        <v>4.6900000000000004</v>
      </c>
      <c r="P5" s="478">
        <f>tertiair!P16</f>
        <v>133.46666666666667</v>
      </c>
      <c r="Q5" s="476">
        <f t="shared" ref="Q5:Q14" ca="1" si="0">SUM(B5:P5)</f>
        <v>27040.710714962905</v>
      </c>
    </row>
    <row r="6" spans="1:17">
      <c r="A6" s="476" t="s">
        <v>194</v>
      </c>
      <c r="B6" s="477">
        <f>'openbare verlichting'!B8</f>
        <v>807.62599999999998</v>
      </c>
      <c r="C6" s="477"/>
      <c r="D6" s="477"/>
      <c r="E6" s="477"/>
      <c r="F6" s="477"/>
      <c r="G6" s="477"/>
      <c r="H6" s="477"/>
      <c r="I6" s="477"/>
      <c r="J6" s="477"/>
      <c r="K6" s="477"/>
      <c r="L6" s="477"/>
      <c r="M6" s="477"/>
      <c r="N6" s="477"/>
      <c r="O6" s="477"/>
      <c r="P6" s="478"/>
      <c r="Q6" s="476">
        <f t="shared" si="0"/>
        <v>807.62599999999998</v>
      </c>
    </row>
    <row r="7" spans="1:17">
      <c r="A7" s="476" t="s">
        <v>112</v>
      </c>
      <c r="B7" s="477">
        <f>landbouw!B8</f>
        <v>3565.7404880506051</v>
      </c>
      <c r="C7" s="477">
        <f>landbouw!C8</f>
        <v>31422.857142857145</v>
      </c>
      <c r="D7" s="477">
        <f>landbouw!D8</f>
        <v>10380.495053554652</v>
      </c>
      <c r="E7" s="477">
        <f>landbouw!E8</f>
        <v>104.80800397231661</v>
      </c>
      <c r="F7" s="477">
        <f>landbouw!F8</f>
        <v>14854.682190716303</v>
      </c>
      <c r="G7" s="477">
        <f>landbouw!G8</f>
        <v>0</v>
      </c>
      <c r="H7" s="477">
        <f>landbouw!H8</f>
        <v>0</v>
      </c>
      <c r="I7" s="477">
        <f>landbouw!I8</f>
        <v>0</v>
      </c>
      <c r="J7" s="477">
        <f>landbouw!J8</f>
        <v>516.59922156500465</v>
      </c>
      <c r="K7" s="477">
        <f>landbouw!K8</f>
        <v>0</v>
      </c>
      <c r="L7" s="477">
        <f>landbouw!L8</f>
        <v>0</v>
      </c>
      <c r="M7" s="477">
        <f>landbouw!M8</f>
        <v>0</v>
      </c>
      <c r="N7" s="477">
        <f>landbouw!N8</f>
        <v>0</v>
      </c>
      <c r="O7" s="477">
        <f>landbouw!O8</f>
        <v>0</v>
      </c>
      <c r="P7" s="478">
        <f>landbouw!P8</f>
        <v>0</v>
      </c>
      <c r="Q7" s="476">
        <f t="shared" si="0"/>
        <v>60845.182100716025</v>
      </c>
    </row>
    <row r="8" spans="1:17">
      <c r="A8" s="476" t="s">
        <v>635</v>
      </c>
      <c r="B8" s="477">
        <f>industrie!B18</f>
        <v>18516.951471148026</v>
      </c>
      <c r="C8" s="477">
        <f>industrie!C18</f>
        <v>0</v>
      </c>
      <c r="D8" s="477">
        <f>industrie!D18</f>
        <v>14886.200694542422</v>
      </c>
      <c r="E8" s="477">
        <f>industrie!E18</f>
        <v>1277.3159906220922</v>
      </c>
      <c r="F8" s="477">
        <f>industrie!F18</f>
        <v>4356.1178902702777</v>
      </c>
      <c r="G8" s="477">
        <f>industrie!G18</f>
        <v>0</v>
      </c>
      <c r="H8" s="477">
        <f>industrie!H18</f>
        <v>0</v>
      </c>
      <c r="I8" s="477">
        <f>industrie!I18</f>
        <v>0</v>
      </c>
      <c r="J8" s="477">
        <f>industrie!J18</f>
        <v>37.428855195325347</v>
      </c>
      <c r="K8" s="477">
        <f>industrie!K18</f>
        <v>0</v>
      </c>
      <c r="L8" s="477">
        <f>industrie!L18</f>
        <v>0</v>
      </c>
      <c r="M8" s="477">
        <f>industrie!M18</f>
        <v>0</v>
      </c>
      <c r="N8" s="477">
        <f>industrie!N18</f>
        <v>3488.6393049744756</v>
      </c>
      <c r="O8" s="477">
        <f>industrie!O18</f>
        <v>0</v>
      </c>
      <c r="P8" s="478">
        <f>industrie!P18</f>
        <v>0</v>
      </c>
      <c r="Q8" s="476">
        <f t="shared" si="0"/>
        <v>42562.654206752617</v>
      </c>
    </row>
    <row r="9" spans="1:17" s="482" customFormat="1">
      <c r="A9" s="480" t="s">
        <v>561</v>
      </c>
      <c r="B9" s="481">
        <f>transport!B14</f>
        <v>25.736066706670652</v>
      </c>
      <c r="C9" s="481">
        <f>transport!C14</f>
        <v>0</v>
      </c>
      <c r="D9" s="481">
        <f>transport!D14</f>
        <v>86.888262024627267</v>
      </c>
      <c r="E9" s="481">
        <f>transport!E14</f>
        <v>116.46544110249873</v>
      </c>
      <c r="F9" s="481">
        <f>transport!F14</f>
        <v>0</v>
      </c>
      <c r="G9" s="481">
        <f>transport!G14</f>
        <v>50735.75280792782</v>
      </c>
      <c r="H9" s="481">
        <f>transport!H14</f>
        <v>9817.819095226796</v>
      </c>
      <c r="I9" s="481">
        <f>transport!I14</f>
        <v>0</v>
      </c>
      <c r="J9" s="481">
        <f>transport!J14</f>
        <v>0</v>
      </c>
      <c r="K9" s="481">
        <f>transport!K14</f>
        <v>0</v>
      </c>
      <c r="L9" s="481">
        <f>transport!L14</f>
        <v>0</v>
      </c>
      <c r="M9" s="481">
        <f>transport!M14</f>
        <v>3253.8986661354575</v>
      </c>
      <c r="N9" s="481">
        <f>transport!N14</f>
        <v>0</v>
      </c>
      <c r="O9" s="481">
        <f>transport!O14</f>
        <v>0</v>
      </c>
      <c r="P9" s="481">
        <f>transport!P14</f>
        <v>0</v>
      </c>
      <c r="Q9" s="480">
        <f>SUM(B9:P9)</f>
        <v>64036.560339123869</v>
      </c>
    </row>
    <row r="10" spans="1:17">
      <c r="A10" s="476" t="s">
        <v>551</v>
      </c>
      <c r="B10" s="477">
        <f>transport!B54</f>
        <v>0</v>
      </c>
      <c r="C10" s="477">
        <f>transport!C54</f>
        <v>0</v>
      </c>
      <c r="D10" s="477">
        <f>transport!D54</f>
        <v>0</v>
      </c>
      <c r="E10" s="477">
        <f>transport!E54</f>
        <v>0</v>
      </c>
      <c r="F10" s="477">
        <f>transport!F54</f>
        <v>0</v>
      </c>
      <c r="G10" s="477">
        <f>transport!G54</f>
        <v>580.01757603697035</v>
      </c>
      <c r="H10" s="477">
        <f>transport!H54</f>
        <v>0</v>
      </c>
      <c r="I10" s="477">
        <f>transport!I54</f>
        <v>0</v>
      </c>
      <c r="J10" s="477">
        <f>transport!J54</f>
        <v>0</v>
      </c>
      <c r="K10" s="477">
        <f>transport!K54</f>
        <v>0</v>
      </c>
      <c r="L10" s="477">
        <f>transport!L54</f>
        <v>0</v>
      </c>
      <c r="M10" s="477">
        <f>transport!M54</f>
        <v>32.942437787006106</v>
      </c>
      <c r="N10" s="477">
        <f>transport!N54</f>
        <v>0</v>
      </c>
      <c r="O10" s="477">
        <f>transport!O54</f>
        <v>0</v>
      </c>
      <c r="P10" s="478">
        <f>transport!P54</f>
        <v>0</v>
      </c>
      <c r="Q10" s="476">
        <f t="shared" si="0"/>
        <v>612.96001382397651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753.48068586828595</v>
      </c>
      <c r="C14" s="484"/>
      <c r="D14" s="484">
        <f>'SEAP template'!E25</f>
        <v>1831.62972603498</v>
      </c>
      <c r="E14" s="484"/>
      <c r="F14" s="484"/>
      <c r="G14" s="484"/>
      <c r="H14" s="484"/>
      <c r="I14" s="484"/>
      <c r="J14" s="484"/>
      <c r="K14" s="484"/>
      <c r="L14" s="484"/>
      <c r="M14" s="484"/>
      <c r="N14" s="484"/>
      <c r="O14" s="484"/>
      <c r="P14" s="485"/>
      <c r="Q14" s="476">
        <f t="shared" si="0"/>
        <v>2585.1104119032661</v>
      </c>
    </row>
    <row r="15" spans="1:17" s="486" customFormat="1">
      <c r="A15" s="1039" t="s">
        <v>555</v>
      </c>
      <c r="B15" s="987">
        <f ca="1">SUM(B4:B14)</f>
        <v>52483.377606149923</v>
      </c>
      <c r="C15" s="987">
        <f t="shared" ref="C15:Q15" ca="1" si="1">SUM(C4:C14)</f>
        <v>31422.857142857145</v>
      </c>
      <c r="D15" s="987">
        <f t="shared" ca="1" si="1"/>
        <v>81141.691559159517</v>
      </c>
      <c r="E15" s="987">
        <f t="shared" si="1"/>
        <v>4452.8283481207545</v>
      </c>
      <c r="F15" s="987">
        <f t="shared" ca="1" si="1"/>
        <v>31623.519995906241</v>
      </c>
      <c r="G15" s="987">
        <f t="shared" si="1"/>
        <v>51315.770383964787</v>
      </c>
      <c r="H15" s="987">
        <f t="shared" si="1"/>
        <v>9817.819095226796</v>
      </c>
      <c r="I15" s="987">
        <f t="shared" si="1"/>
        <v>0</v>
      </c>
      <c r="J15" s="987">
        <f t="shared" si="1"/>
        <v>1904.5186783080117</v>
      </c>
      <c r="K15" s="987">
        <f t="shared" si="1"/>
        <v>0</v>
      </c>
      <c r="L15" s="987">
        <f t="shared" ca="1" si="1"/>
        <v>0</v>
      </c>
      <c r="M15" s="987">
        <f t="shared" si="1"/>
        <v>3286.8411039224634</v>
      </c>
      <c r="N15" s="987">
        <f t="shared" ca="1" si="1"/>
        <v>18555.664811929859</v>
      </c>
      <c r="O15" s="987">
        <f t="shared" si="1"/>
        <v>243.88000000000002</v>
      </c>
      <c r="P15" s="987">
        <f t="shared" si="1"/>
        <v>514.80000000000007</v>
      </c>
      <c r="Q15" s="987">
        <f t="shared" ca="1" si="1"/>
        <v>286763.56872554548</v>
      </c>
    </row>
    <row r="17" spans="1:17">
      <c r="A17" s="487" t="s">
        <v>556</v>
      </c>
      <c r="B17" s="786">
        <f ca="1">huishoudens!B10</f>
        <v>0.21195072745336369</v>
      </c>
      <c r="C17" s="786">
        <f ca="1">huishoudens!C10</f>
        <v>0.23764705882352941</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3625.3791101045258</v>
      </c>
      <c r="C22" s="477">
        <f t="shared" ref="C22:C32" ca="1" si="3">C4*$C$17</f>
        <v>0</v>
      </c>
      <c r="D22" s="477">
        <f t="shared" ref="D22:D32" si="4">D4*$D$17</f>
        <v>8454.9828154021743</v>
      </c>
      <c r="E22" s="477">
        <f t="shared" ref="E22:E32" si="5">E4*$E$17</f>
        <v>622.30937920336874</v>
      </c>
      <c r="F22" s="477">
        <f t="shared" ref="F22:F32" si="6">F4*$F$17</f>
        <v>2762.7953615515476</v>
      </c>
      <c r="G22" s="477">
        <f t="shared" ref="G22:G32" si="7">G4*$G$17</f>
        <v>0</v>
      </c>
      <c r="H22" s="477">
        <f t="shared" ref="H22:H32" si="8">H4*$H$17</f>
        <v>0</v>
      </c>
      <c r="I22" s="477">
        <f t="shared" ref="I22:I32" si="9">I4*$I$17</f>
        <v>0</v>
      </c>
      <c r="J22" s="477">
        <f t="shared" ref="J22:J32" si="10">J4*$J$17</f>
        <v>478.06656509133256</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15943.533231352949</v>
      </c>
    </row>
    <row r="23" spans="1:17">
      <c r="A23" s="476" t="s">
        <v>156</v>
      </c>
      <c r="B23" s="477">
        <f t="shared" ca="1" si="2"/>
        <v>2481.7358520854727</v>
      </c>
      <c r="C23" s="477">
        <f t="shared" ca="1" si="3"/>
        <v>0</v>
      </c>
      <c r="D23" s="477">
        <f t="shared" ca="1" si="4"/>
        <v>2444.2257048443994</v>
      </c>
      <c r="E23" s="477">
        <f t="shared" si="5"/>
        <v>48.302853916844583</v>
      </c>
      <c r="F23" s="477">
        <f t="shared" ca="1" si="6"/>
        <v>551.40085573200247</v>
      </c>
      <c r="G23" s="477">
        <f t="shared" si="7"/>
        <v>0</v>
      </c>
      <c r="H23" s="477">
        <f t="shared" si="8"/>
        <v>0</v>
      </c>
      <c r="I23" s="477">
        <f t="shared" si="9"/>
        <v>0</v>
      </c>
      <c r="J23" s="477">
        <f t="shared" si="10"/>
        <v>7.1078565468233939E-3</v>
      </c>
      <c r="K23" s="477">
        <f t="shared" si="11"/>
        <v>0</v>
      </c>
      <c r="L23" s="477">
        <f t="shared" ca="1" si="12"/>
        <v>0</v>
      </c>
      <c r="M23" s="477">
        <f t="shared" si="13"/>
        <v>0</v>
      </c>
      <c r="N23" s="477">
        <f t="shared" ca="1" si="14"/>
        <v>0</v>
      </c>
      <c r="O23" s="477">
        <f t="shared" si="15"/>
        <v>0</v>
      </c>
      <c r="P23" s="478">
        <f t="shared" si="16"/>
        <v>0</v>
      </c>
      <c r="Q23" s="476">
        <f t="shared" ref="Q23:Q32" ca="1" si="17">SUM(B23:P23)</f>
        <v>5525.6723744352657</v>
      </c>
    </row>
    <row r="24" spans="1:17">
      <c r="A24" s="476" t="s">
        <v>194</v>
      </c>
      <c r="B24" s="477">
        <f t="shared" ca="1" si="2"/>
        <v>171.17691821025031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171.17691821025031</v>
      </c>
    </row>
    <row r="25" spans="1:17">
      <c r="A25" s="476" t="s">
        <v>112</v>
      </c>
      <c r="B25" s="477">
        <f t="shared" ca="1" si="2"/>
        <v>755.76129035223778</v>
      </c>
      <c r="C25" s="477">
        <f t="shared" ca="1" si="3"/>
        <v>7467.5495798319334</v>
      </c>
      <c r="D25" s="477">
        <f t="shared" si="4"/>
        <v>2096.8600008180397</v>
      </c>
      <c r="E25" s="477">
        <f t="shared" si="5"/>
        <v>23.791416901715873</v>
      </c>
      <c r="F25" s="477">
        <f t="shared" si="6"/>
        <v>3966.200144921253</v>
      </c>
      <c r="G25" s="477">
        <f t="shared" si="7"/>
        <v>0</v>
      </c>
      <c r="H25" s="477">
        <f t="shared" si="8"/>
        <v>0</v>
      </c>
      <c r="I25" s="477">
        <f t="shared" si="9"/>
        <v>0</v>
      </c>
      <c r="J25" s="477">
        <f t="shared" si="10"/>
        <v>182.87612443401164</v>
      </c>
      <c r="K25" s="477">
        <f t="shared" si="11"/>
        <v>0</v>
      </c>
      <c r="L25" s="477">
        <f t="shared" si="12"/>
        <v>0</v>
      </c>
      <c r="M25" s="477">
        <f t="shared" si="13"/>
        <v>0</v>
      </c>
      <c r="N25" s="477">
        <f t="shared" si="14"/>
        <v>0</v>
      </c>
      <c r="O25" s="477">
        <f t="shared" si="15"/>
        <v>0</v>
      </c>
      <c r="P25" s="478">
        <f t="shared" si="16"/>
        <v>0</v>
      </c>
      <c r="Q25" s="476">
        <f t="shared" ca="1" si="17"/>
        <v>14493.038557259193</v>
      </c>
    </row>
    <row r="26" spans="1:17">
      <c r="A26" s="476" t="s">
        <v>635</v>
      </c>
      <c r="B26" s="477">
        <f t="shared" ca="1" si="2"/>
        <v>3924.6813345284572</v>
      </c>
      <c r="C26" s="477">
        <f t="shared" ca="1" si="3"/>
        <v>0</v>
      </c>
      <c r="D26" s="477">
        <f t="shared" si="4"/>
        <v>3007.0125402975696</v>
      </c>
      <c r="E26" s="477">
        <f t="shared" si="5"/>
        <v>289.95072987121495</v>
      </c>
      <c r="F26" s="477">
        <f t="shared" si="6"/>
        <v>1163.0834767021643</v>
      </c>
      <c r="G26" s="477">
        <f t="shared" si="7"/>
        <v>0</v>
      </c>
      <c r="H26" s="477">
        <f t="shared" si="8"/>
        <v>0</v>
      </c>
      <c r="I26" s="477">
        <f t="shared" si="9"/>
        <v>0</v>
      </c>
      <c r="J26" s="477">
        <f t="shared" si="10"/>
        <v>13.249814739145172</v>
      </c>
      <c r="K26" s="477">
        <f t="shared" si="11"/>
        <v>0</v>
      </c>
      <c r="L26" s="477">
        <f t="shared" si="12"/>
        <v>0</v>
      </c>
      <c r="M26" s="477">
        <f t="shared" si="13"/>
        <v>0</v>
      </c>
      <c r="N26" s="477">
        <f t="shared" si="14"/>
        <v>0</v>
      </c>
      <c r="O26" s="477">
        <f t="shared" si="15"/>
        <v>0</v>
      </c>
      <c r="P26" s="478">
        <f t="shared" si="16"/>
        <v>0</v>
      </c>
      <c r="Q26" s="476">
        <f t="shared" ca="1" si="17"/>
        <v>8397.9778961385528</v>
      </c>
    </row>
    <row r="27" spans="1:17" s="482" customFormat="1">
      <c r="A27" s="480" t="s">
        <v>561</v>
      </c>
      <c r="B27" s="780">
        <f t="shared" ca="1" si="2"/>
        <v>5.4547780602671381</v>
      </c>
      <c r="C27" s="481">
        <f t="shared" ca="1" si="3"/>
        <v>0</v>
      </c>
      <c r="D27" s="481">
        <f t="shared" si="4"/>
        <v>17.551428928974708</v>
      </c>
      <c r="E27" s="481">
        <f t="shared" si="5"/>
        <v>26.437655130267213</v>
      </c>
      <c r="F27" s="481">
        <f t="shared" si="6"/>
        <v>0</v>
      </c>
      <c r="G27" s="481">
        <f t="shared" si="7"/>
        <v>13546.445999716729</v>
      </c>
      <c r="H27" s="481">
        <f t="shared" si="8"/>
        <v>2444.6369547114723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16040.52681654771</v>
      </c>
    </row>
    <row r="28" spans="1:17">
      <c r="A28" s="476" t="s">
        <v>551</v>
      </c>
      <c r="B28" s="477">
        <f t="shared" ca="1" si="2"/>
        <v>0</v>
      </c>
      <c r="C28" s="477">
        <f t="shared" ca="1" si="3"/>
        <v>0</v>
      </c>
      <c r="D28" s="477">
        <f t="shared" si="4"/>
        <v>0</v>
      </c>
      <c r="E28" s="477">
        <f t="shared" si="5"/>
        <v>0</v>
      </c>
      <c r="F28" s="477">
        <f t="shared" si="6"/>
        <v>0</v>
      </c>
      <c r="G28" s="477">
        <f t="shared" si="7"/>
        <v>154.86469280187109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154.86469280187109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159.70077949184261</v>
      </c>
      <c r="C32" s="477">
        <f t="shared" ca="1" si="3"/>
        <v>0</v>
      </c>
      <c r="D32" s="477">
        <f t="shared" si="4"/>
        <v>369.98920465906599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529.68998415090857</v>
      </c>
    </row>
    <row r="33" spans="1:17" s="486" customFormat="1">
      <c r="A33" s="1039" t="s">
        <v>555</v>
      </c>
      <c r="B33" s="987">
        <f ca="1">SUM(B22:B32)</f>
        <v>11123.890062833054</v>
      </c>
      <c r="C33" s="987">
        <f t="shared" ref="C33:Q33" ca="1" si="18">SUM(C22:C32)</f>
        <v>7467.5495798319334</v>
      </c>
      <c r="D33" s="987">
        <f t="shared" ca="1" si="18"/>
        <v>16390.621694950223</v>
      </c>
      <c r="E33" s="987">
        <f t="shared" si="18"/>
        <v>1010.7920350234114</v>
      </c>
      <c r="F33" s="987">
        <f t="shared" ca="1" si="18"/>
        <v>8443.4798389069674</v>
      </c>
      <c r="G33" s="987">
        <f t="shared" si="18"/>
        <v>13701.3106925186</v>
      </c>
      <c r="H33" s="987">
        <f t="shared" si="18"/>
        <v>2444.6369547114723</v>
      </c>
      <c r="I33" s="987">
        <f t="shared" si="18"/>
        <v>0</v>
      </c>
      <c r="J33" s="987">
        <f t="shared" si="18"/>
        <v>674.19961212103624</v>
      </c>
      <c r="K33" s="987">
        <f t="shared" si="18"/>
        <v>0</v>
      </c>
      <c r="L33" s="987">
        <f t="shared" ca="1" si="18"/>
        <v>0</v>
      </c>
      <c r="M33" s="987">
        <f t="shared" si="18"/>
        <v>0</v>
      </c>
      <c r="N33" s="987">
        <f t="shared" ca="1" si="18"/>
        <v>0</v>
      </c>
      <c r="O33" s="987">
        <f t="shared" si="18"/>
        <v>0</v>
      </c>
      <c r="P33" s="987">
        <f t="shared" si="18"/>
        <v>0</v>
      </c>
      <c r="Q33" s="987">
        <f t="shared" ca="1" si="18"/>
        <v>61256.480470896699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3805.9054027530869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21996</v>
      </c>
      <c r="D8" s="1056">
        <f>'SEAP template'!D76</f>
        <v>25877.647058823532</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5227.2847058823536</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3805.9054027530869</v>
      </c>
      <c r="C10" s="1060">
        <f>SUM(C4:C9)</f>
        <v>21996</v>
      </c>
      <c r="D10" s="1060">
        <f t="shared" ref="D10:H10" si="0">SUM(D8:D9)</f>
        <v>25877.647058823532</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5227.2847058823536</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0.21195072745336369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31422.857142857145</v>
      </c>
      <c r="D17" s="1057">
        <f>'SEAP template'!D87</f>
        <v>36968.067226890758</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7467.5495798319334</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31422.857142857145</v>
      </c>
      <c r="D20" s="1060">
        <f t="shared" ref="D20:H20" si="2">SUM(D17:D19)</f>
        <v>36968.067226890758</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7467.5495798319334</v>
      </c>
    </row>
    <row r="22" spans="1:16">
      <c r="A22" s="487" t="s">
        <v>862</v>
      </c>
      <c r="B22" s="786" t="s">
        <v>856</v>
      </c>
      <c r="C22" s="786">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0.21195072745336369</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2019-08-12T08:33:46Z</dcterms:modified>
</cp:coreProperties>
</file>