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C98" i="18"/>
  <c r="I101" s="1"/>
  <c r="H8" s="1"/>
  <c r="O77" i="14"/>
  <c r="O9" i="61" s="1"/>
  <c r="O10" s="1"/>
  <c r="N20"/>
  <c r="K90" i="14"/>
  <c r="K22"/>
  <c r="N77"/>
  <c r="O89"/>
  <c r="O19" i="61" s="1"/>
  <c r="P27" i="48"/>
  <c r="B10" i="18"/>
  <c r="H9"/>
  <c r="O9" s="1"/>
  <c r="E20" i="61"/>
  <c r="L20"/>
  <c r="P22" i="14"/>
  <c r="E10" i="61"/>
  <c r="B17" i="18"/>
  <c r="B20" s="1"/>
  <c r="F13" i="15"/>
  <c r="O22" i="14"/>
  <c r="G77"/>
  <c r="G9" i="61" s="1"/>
  <c r="G10" s="1"/>
  <c r="H20"/>
  <c r="P25" i="48"/>
  <c r="I77" i="14"/>
  <c r="I9" i="61" s="1"/>
  <c r="L13" i="15"/>
  <c r="B13"/>
  <c r="H90" i="14"/>
  <c r="N13" i="15"/>
  <c r="F77" i="14"/>
  <c r="F9" i="61" s="1"/>
  <c r="E101" i="18"/>
  <c r="E8" s="1"/>
  <c r="G101"/>
  <c r="I8" s="1"/>
  <c r="F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H78" l="1"/>
  <c r="H9" i="61"/>
  <c r="H10" s="1"/>
  <c r="O78" i="14"/>
  <c r="H101" i="18"/>
  <c r="J8" s="1"/>
  <c r="O8" s="1"/>
  <c r="O10" s="1"/>
  <c r="O20" i="61"/>
  <c r="D101" i="18"/>
  <c r="N78" i="14"/>
  <c r="N9" i="61"/>
  <c r="N10" s="1"/>
  <c r="O90" i="14"/>
  <c r="O18" i="61"/>
  <c r="B101" i="18"/>
  <c r="C8" s="1"/>
  <c r="M77" i="14"/>
  <c r="M9" i="61" s="1"/>
  <c r="B88" i="14"/>
  <c r="B18" i="61" s="1"/>
  <c r="Q77" i="14"/>
  <c r="P9" i="61" s="1"/>
  <c r="J17" i="18"/>
  <c r="H20"/>
  <c r="M87" i="14"/>
  <c r="M76"/>
  <c r="H10" i="18"/>
  <c r="E20"/>
  <c r="F87" i="14"/>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C77" i="14"/>
  <c r="C9" i="61" s="1"/>
  <c r="M78" i="14"/>
  <c r="M8" i="61"/>
  <c r="M10" s="1"/>
  <c r="B77" i="14"/>
  <c r="B9" i="61"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78" i="14" l="1"/>
  <c r="B8" i="61"/>
  <c r="B10" s="1"/>
  <c r="B90" i="14"/>
  <c r="B17" i="61"/>
  <c r="B20" s="1"/>
  <c r="C90" i="14"/>
  <c r="C17" i="61"/>
  <c r="C20" s="1"/>
  <c r="C78" i="14"/>
  <c r="C8" i="61"/>
  <c r="C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4"/>
  <c r="I28"/>
  <c r="I30"/>
  <c r="I27"/>
  <c r="I22"/>
  <c r="I32"/>
  <c r="I26"/>
  <c r="I29"/>
  <c r="D4"/>
  <c r="D22" s="1"/>
  <c r="E11" i="14"/>
  <c r="H29" i="48"/>
  <c r="H32"/>
  <c r="H28"/>
  <c r="H30"/>
  <c r="H26"/>
  <c r="H22"/>
  <c r="H25"/>
  <c r="H24"/>
  <c r="H23"/>
  <c r="C4"/>
  <c r="D11" i="14"/>
  <c r="B4" i="48"/>
  <c r="C11" i="14"/>
  <c r="F30" i="48"/>
  <c r="F32"/>
  <c r="F31"/>
  <c r="F29"/>
  <c r="F24"/>
  <c r="F28"/>
  <c r="F27"/>
  <c r="N31"/>
  <c r="N30"/>
  <c r="N32"/>
  <c r="N24"/>
  <c r="N28"/>
  <c r="N29"/>
  <c r="N27"/>
  <c r="B10"/>
  <c r="C19" i="14"/>
  <c r="E29" i="48"/>
  <c r="E31"/>
  <c r="E24"/>
  <c r="E30"/>
  <c r="E28"/>
  <c r="E32"/>
  <c r="M29"/>
  <c r="M25"/>
  <c r="M22"/>
  <c r="M26"/>
  <c r="M24"/>
  <c r="M30"/>
  <c r="M32"/>
  <c r="M23"/>
  <c r="P11" i="14"/>
  <c r="O4" i="48"/>
  <c r="G23"/>
  <c r="G30"/>
  <c r="G32"/>
  <c r="G24"/>
  <c r="G25"/>
  <c r="G26"/>
  <c r="G22"/>
  <c r="G29"/>
  <c r="L10" i="14"/>
  <c r="L16" s="1"/>
  <c r="L27" s="1"/>
  <c r="K5" i="48"/>
  <c r="D30"/>
  <c r="D28"/>
  <c r="D29"/>
  <c r="D31"/>
  <c r="D32"/>
  <c r="D24"/>
  <c r="L29"/>
  <c r="L32"/>
  <c r="L30"/>
  <c r="L27"/>
  <c r="L28"/>
  <c r="L22"/>
  <c r="L24"/>
  <c r="L31"/>
  <c r="Q10" i="14"/>
  <c r="P5" i="48"/>
  <c r="P23" s="1"/>
  <c r="K32"/>
  <c r="K24"/>
  <c r="K27"/>
  <c r="K26"/>
  <c r="K31"/>
  <c r="K28"/>
  <c r="K22"/>
  <c r="K29"/>
  <c r="K25"/>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E9"/>
  <c r="E27" s="1"/>
  <c r="F20" i="14"/>
  <c r="F22" s="1"/>
  <c r="Q13"/>
  <c r="Q16" s="1"/>
  <c r="Q27" s="1"/>
  <c r="P8" i="48"/>
  <c r="P26" s="1"/>
  <c r="K33"/>
  <c r="P22"/>
  <c r="H18" i="14"/>
  <c r="G13" i="48"/>
  <c r="G31" s="1"/>
  <c r="O22"/>
  <c r="D9"/>
  <c r="D27" s="1"/>
  <c r="E20" i="14"/>
  <c r="E22" s="1"/>
  <c r="P10"/>
  <c r="O5" i="48"/>
  <c r="O23" s="1"/>
  <c r="B9"/>
  <c r="C20" i="14"/>
  <c r="C22" s="1"/>
  <c r="J7" i="48"/>
  <c r="J25" s="1"/>
  <c r="K24" i="14"/>
  <c r="K26" s="1"/>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P13"/>
  <c r="O8" i="48"/>
  <c r="J4"/>
  <c r="K11" i="14"/>
  <c r="O11"/>
  <c r="N4" i="48"/>
  <c r="N22" s="1"/>
  <c r="I23"/>
  <c r="I33" s="1"/>
  <c r="I15"/>
  <c r="Q63" i="14"/>
  <c r="P33" i="48"/>
  <c r="P15"/>
  <c r="P16" i="14"/>
  <c r="P27" s="1"/>
  <c r="M14" i="22"/>
  <c r="M9" i="48" s="1"/>
  <c r="H19" i="14"/>
  <c r="G10" i="48"/>
  <c r="E7"/>
  <c r="E25" s="1"/>
  <c r="F24" i="14"/>
  <c r="F26" s="1"/>
  <c r="I20"/>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H22" s="1"/>
  <c r="H27" s="1"/>
  <c r="J5" i="48"/>
  <c r="J23" s="1"/>
  <c r="K10" i="14"/>
  <c r="F10"/>
  <c r="E5" i="48"/>
  <c r="E23" s="1"/>
  <c r="R19" i="14"/>
  <c r="G28" i="48"/>
  <c r="Q10"/>
  <c r="N20" i="14"/>
  <c r="R11"/>
  <c r="E22" i="48"/>
  <c r="Q4"/>
  <c r="O26"/>
  <c r="O33" s="1"/>
  <c r="O15"/>
  <c r="J22"/>
  <c r="Q7"/>
  <c r="M15"/>
  <c r="M27"/>
  <c r="M33" s="1"/>
  <c r="Q9"/>
  <c r="H15"/>
  <c r="H27"/>
  <c r="H33" s="1"/>
  <c r="R24" i="14"/>
  <c r="R26" s="1"/>
  <c r="N18" i="16"/>
  <c r="E20" i="15"/>
  <c r="F40" i="14" s="1"/>
  <c r="F18" i="16"/>
  <c r="J18"/>
  <c r="E18"/>
  <c r="G18" i="22"/>
  <c r="H50" i="14" s="1"/>
  <c r="H52" s="1"/>
  <c r="H61" s="1"/>
  <c r="H18" i="22"/>
  <c r="I50" i="14" s="1"/>
  <c r="I52" s="1"/>
  <c r="I61" s="1"/>
  <c r="I63" s="1"/>
  <c r="J8" i="48" l="1"/>
  <c r="K13" i="14"/>
  <c r="K16" s="1"/>
  <c r="K27" s="1"/>
  <c r="K63" s="1"/>
  <c r="G27" i="48"/>
  <c r="G33" s="1"/>
  <c r="G15"/>
  <c r="F13" i="14"/>
  <c r="E8" i="48"/>
  <c r="H63" i="14"/>
  <c r="R20"/>
  <c r="R22" s="1"/>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<sst xmlns="http://schemas.openxmlformats.org/spreadsheetml/2006/main" count="2390" uniqueCount="886">
  <si>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</si>
  <si>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</si>
  <si>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</si>
  <si>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</si>
  <si>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</si>
  <si>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</si>
  <si>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</si>
  <si>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</si>
  <si>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</si>
  <si>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</si>
  <si>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</si>
  <si>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</si>
  <si>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</si>
  <si>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</si>
  <si>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</si>
  <si>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</si>
  <si>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</si>
  <si>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</si>
  <si>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</si>
  <si>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</si>
  <si>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</si>
  <si>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</si>
  <si>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</si>
  <si>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</si>
  <si>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</si>
  <si>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</si>
  <si>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</si>
  <si>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</si>
  <si>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</si>
  <si>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</si>
  <si>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</si>
  <si>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</si>
  <si>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</si>
  <si>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</si>
  <si>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</si>
  <si>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</si>
  <si>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</si>
  <si>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</si>
  <si>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</si>
  <si>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</si>
  <si>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</si>
  <si>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</si>
  <si>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</si>
  <si>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</si>
  <si>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</si>
  <si>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</si>
  <si>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</si>
  <si>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</si>
  <si>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</si>
  <si>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</si>
  <si>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</si>
  <si>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</si>
  <si>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</si>
  <si>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</si>
  <si>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</si>
  <si>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</si>
  <si>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</si>
  <si>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</si>
  <si>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</si>
  <si>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</si>
  <si>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</si>
  <si>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</si>
  <si>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</si>
  <si>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</si>
  <si>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</si>
  <si>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</si>
  <si>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</si>
  <si>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</si>
  <si>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</si>
  <si>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</si>
  <si>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</si>
  <si>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</si>
  <si>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</si>
  <si>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</si>
  <si>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</si>
  <si>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</si>
  <si>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</si>
  <si>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</si>
  <si>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</si>
  <si>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</si>
  <si>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</si>
  <si>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</si>
  <si>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</si>
  <si>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</si>
  <si>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</si>
  <si>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</si>
  <si>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</si>
  <si>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</si>
  <si>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</si>
  <si>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</si>
  <si>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</si>
  <si>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</si>
  <si>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</si>
  <si>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</si>
  <si>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</si>
  <si>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</si>
  <si>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</si>
  <si>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</si>
  <si>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</si>
  <si>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</si>
  <si>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</si>
  <si>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</si>
  <si>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</si>
  <si>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</si>
  <si>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</si>
  <si>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</si>
  <si>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</si>
  <si>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</si>
  <si>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</si>
  <si>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</si>
  <si>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</si>
  <si>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</si>
  <si>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</si>
  <si>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</si>
  <si>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</si>
  <si>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</si>
  <si>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</si>
  <si>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</si>
  <si>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</si>
  <si>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</si>
  <si>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</si>
  <si>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</si>
  <si>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</si>
  <si>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</si>
  <si>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</si>
  <si>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</si>
  <si>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</si>
  <si>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</si>
  <si>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</si>
  <si>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</si>
  <si>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</si>
  <si>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</si>
  <si>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</si>
  <si>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</si>
  <si>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</si>
  <si>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</si>
  <si>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</si>
  <si>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</si>
  <si>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</si>
  <si>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</si>
  <si>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</si>
  <si>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</si>
  <si>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</si>
  <si>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</si>
  <si>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</si>
  <si>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</si>
  <si>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</si>
  <si>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</si>
  <si>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</si>
  <si>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</si>
  <si>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</si>
  <si>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</si>
  <si>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</si>
  <si>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</si>
  <si>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</si>
  <si>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</si>
  <si>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</si>
  <si>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</si>
  <si>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</si>
  <si>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</si>
  <si>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</si>
  <si>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</si>
  <si>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</si>
  <si>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</si>
  <si>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</si>
  <si>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</si>
  <si>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</si>
  <si>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</si>
  <si>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</si>
  <si>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</si>
  <si>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</si>
  <si>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</si>
  <si>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</si>
  <si>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</si>
  <si>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</si>
  <si>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</si>
  <si>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</si>
  <si>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</si>
  <si>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</si>
  <si>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</si>
  <si>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</si>
  <si>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</si>
  <si>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</si>
  <si>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</si>
  <si>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</si>
  <si>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</si>
  <si>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</si>
  <si>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</si>
  <si>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</si>
  <si>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</si>
  <si>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</si>
  <si>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</si>
  <si>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</si>
  <si>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</si>
  <si>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</si>
  <si>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</si>
  <si>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</si>
  <si>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</si>
  <si>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</si>
  <si>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</si>
  <si>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</si>
  <si>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</si>
  <si>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</si>
  <si>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</si>
  <si>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</si>
  <si>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</si>
  <si>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</si>
  <si>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</si>
  <si>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</si>
  <si>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</si>
  <si>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</si>
  <si>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</si>
  <si>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</si>
  <si>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</si>
  <si>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</si>
  <si>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</si>
  <si>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</si>
  <si>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</si>
  <si>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</si>
  <si>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</si>
  <si>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</si>
  <si>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</si>
  <si>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</si>
  <si>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</si>
  <si>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</si>
  <si>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</si>
  <si>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</si>
  <si>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</si>
  <si>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</si>
  <si>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</si>
  <si>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</si>
  <si>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</si>
  <si>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</si>
  <si>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</si>
  <si>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</si>
  <si>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</si>
  <si>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</si>
  <si>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</si>
  <si>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</si>
  <si>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</si>
  <si>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</si>
  <si>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</si>
  <si>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</si>
  <si>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</si>
  <si>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</si>
  <si>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</si>
  <si>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</si>
  <si>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</si>
  <si>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</si>
  <si>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</si>
  <si>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</si>
  <si>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</si>
  <si>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</si>
  <si>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</si>
  <si>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</si>
  <si>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</si>
  <si>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</si>
  <si>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</si>
  <si>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</si>
  <si>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</si>
  <si>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</si>
  <si>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</si>
  <si>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</si>
  <si>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</si>
  <si>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</si>
  <si>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</si>
  <si>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</si>
  <si>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</si>
  <si>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</si>
  <si>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</si>
  <si>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</si>
  <si>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</si>
  <si>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</si>
  <si>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</si>
  <si>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</si>
  <si>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</si>
  <si>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</si>
  <si>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</si>
  <si>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</si>
  <si>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</si>
  <si>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</si>
  <si>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</si>
  <si>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</si>
  <si>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</si>
  <si>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</si>
  <si>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</si>
  <si>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</si>
  <si>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</si>
  <si>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</si>
  <si>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</si>
  <si>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</si>
  <si>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</si>
  <si>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</si>
  <si>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</si>
  <si>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</si>
  <si>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</si>
  <si>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</si>
  <si>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</si>
  <si>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</si>
  <si>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</si>
  <si>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</si>
  <si>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</si>
  <si>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</si>
  <si>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</si>
  <si>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</si>
  <si>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</si>
  <si>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</si>
  <si>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</si>
  <si>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</si>
  <si>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</si>
  <si>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</si>
  <si>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</si>
  <si>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</si>
  <si>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</si>
  <si>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</si>
  <si>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</si>
  <si>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</si>
  <si>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</si>
  <si>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</si>
  <si>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</si>
  <si>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</si>
  <si>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</si>
  <si>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</si>
  <si>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</si>
  <si>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</si>
  <si>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</si>
  <si>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</si>
  <si>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</si>
  <si>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</si>
  <si>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</si>
  <si>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</si>
  <si>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</si>
  <si>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</si>
  <si>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</si>
  <si>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</si>
  <si>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</si>
  <si>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</si>
  <si>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</si>
  <si>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</si>
  <si>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</si>
  <si>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</si>
  <si>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</si>
  <si>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</si>
  <si>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</si>
  <si>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</si>
  <si>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</si>
  <si>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</si>
  <si>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</si>
  <si>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</si>
  <si>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</si>
  <si>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</si>
  <si>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</si>
  <si>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</si>
  <si>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</si>
  <si>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</si>
  <si>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</si>
  <si>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</si>
  <si>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</si>
  <si>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</si>
  <si>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</si>
  <si>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</si>
  <si>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</si>
  <si>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</si>
  <si>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</si>
  <si>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</si>
  <si>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</si>
  <si>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</si>
  <si>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</si>
  <si>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</si>
  <si>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</si>
  <si>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</si>
  <si>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</si>
  <si>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</si>
  <si>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</si>
  <si>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</si>
  <si>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</si>
  <si>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</si>
  <si>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</si>
  <si>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</si>
  <si>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</si>
  <si>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</si>
  <si>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</si>
  <si>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</si>
  <si>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</si>
  <si>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</si>
  <si>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</si>
  <si>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</si>
  <si>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</si>
  <si>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</si>
  <si>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</si>
  <si>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</si>
  <si>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</si>
  <si>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</si>
  <si>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</si>
  <si>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</si>
  <si>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</si>
  <si>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</si>
  <si>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</si>
  <si>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</si>
  <si>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</si>
  <si>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</si>
  <si>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</si>
  <si>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</si>
  <si>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</si>
  <si>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</si>
  <si>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</si>
  <si>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</si>
  <si>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</si>
  <si>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</si>
  <si>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</si>
  <si>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</si>
  <si>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</si>
  <si>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</si>
  <si>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</si>
  <si>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</si>
  <si>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</si>
  <si>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</si>
  <si>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</si>
  <si>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</si>
  <si>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</si>
  <si>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</si>
  <si>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</si>
  <si>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</si>
  <si>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</si>
  <si>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</si>
  <si>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</si>
  <si>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</si>
  <si>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</si>
  <si>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</si>
  <si>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</si>
  <si>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</si>
  <si>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</si>
  <si>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</si>
  <si>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</si>
  <si>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</si>
  <si>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</si>
  <si>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</si>
  <si>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</si>
  <si>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</si>
  <si>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</si>
  <si>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</si>
  <si>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</si>
  <si>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</si>
  <si>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</si>
  <si>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</si>
  <si>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</si>
  <si>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</si>
  <si>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</si>
  <si>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</si>
  <si>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</si>
  <si>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</si>
  <si>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</si>
  <si>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</si>
  <si>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</si>
  <si>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</si>
  <si>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</si>
  <si>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</si>
  <si>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</si>
  <si>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</si>
  <si>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</si>
  <si>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</si>
  <si>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</si>
  <si>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</si>
  <si>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</si>
  <si>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</si>
  <si>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</si>
  <si>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</si>
  <si>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</si>
  <si>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</si>
  <si>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</si>
  <si>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</si>
  <si>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</si>
  <si>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</si>
  <si>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</si>
  <si>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</si>
  <si>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</si>
  <si>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</si>
  <si>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</si>
  <si>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</si>
  <si>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</si>
  <si>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</si>
  <si>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</si>
  <si>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</si>
  <si>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</si>
  <si>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</si>
  <si>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</si>
  <si>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</si>
  <si>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</si>
  <si>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</si>
  <si>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</si>
  <si>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</si>
  <si>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</si>
  <si>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</si>
  <si>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</si>
  <si>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</si>
  <si>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</si>
  <si>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</si>
  <si>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</si>
  <si>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</si>
  <si>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</si>
  <si>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</si>
  <si>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</si>
  <si>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</si>
  <si>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</si>
  <si>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</si>
  <si>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</si>
  <si>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</si>
  <si>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</si>
  <si>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</si>
  <si>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</si>
  <si>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</si>
  <si>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</si>
  <si>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</si>
  <si>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</si>
  <si>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</si>
  <si>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</si>
  <si>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</si>
  <si>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</si>
  <si>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</si>
  <si>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</si>
  <si>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</si>
  <si>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</si>
  <si>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</si>
  <si>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</si>
  <si>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</si>
  <si>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</si>
  <si>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</si>
  <si>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</si>
  <si>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</si>
  <si>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</si>
  <si>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</si>
  <si>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</si>
  <si>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</si>
  <si>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</si>
  <si>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</si>
  <si>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</si>
  <si>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</si>
  <si>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</si>
  <si>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</si>
  <si>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</si>
  <si>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</si>
  <si>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</si>
  <si>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</si>
  <si>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</si>
  <si>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</si>
  <si>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</si>
  <si>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</si>
  <si>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</si>
  <si>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</si>
  <si>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</si>
  <si>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</si>
  <si>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</si>
  <si>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</si>
  <si>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</si>
  <si>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</si>
  <si>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</si>
  <si>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</si>
  <si>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</si>
  <si>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</si>
  <si>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</si>
  <si>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</si>
  <si>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</si>
  <si>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</si>
  <si>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</si>
  <si>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</si>
  <si>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</si>
  <si>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</si>
  <si>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</si>
  <si>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</si>
  <si>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</si>
  <si>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</si>
  <si>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</si>
  <si>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</si>
  <si>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</si>
  <si>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</si>
  <si>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</si>
  <si>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</si>
  <si>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</si>
  <si>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</si>
  <si>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</si>
  <si>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</si>
  <si>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</si>
  <si>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</si>
  <si>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</si>
  <si>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</si>
  <si>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</si>
  <si>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</si>
  <si>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</si>
  <si>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</si>
  <si>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</si>
  <si>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</si>
  <si>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</si>
  <si>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</si>
  <si>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</si>
  <si>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</si>
  <si>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</si>
  <si>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</si>
  <si>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</si>
  <si>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</si>
  <si>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</si>
  <si>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</si>
  <si>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</si>
  <si>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</si>
  <si>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</si>
  <si>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</si>
  <si>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</si>
  <si>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</si>
  <si>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</si>
  <si>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</si>
  <si>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</si>
  <si>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</si>
  <si>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</si>
  <si>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</si>
  <si>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</si>
  <si>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</si>
  <si>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</si>
  <si>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</si>
  <si>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</si>
  <si>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</si>
  <si>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</si>
  <si>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</si>
  <si>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</si>
  <si>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</si>
  <si>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</si>
  <si>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</si>
  <si>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</si>
  <si>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</si>
  <si>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</si>
  <si>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</si>
  <si>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</si>
  <si>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</si>
  <si>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</si>
  <si>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</si>
  <si>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</si>
  <si>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</si>
  <si>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</si>
  <si>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</si>
  <si>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</si>
  <si>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</si>
  <si>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</si>
  <si>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</si>
  <si>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</si>
  <si>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</si>
  <si>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</si>
  <si>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</si>
  <si>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</si>
  <si>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</si>
  <si>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</si>
  <si>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</si>
  <si>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</si>
  <si>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</si>
  <si>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</si>
  <si>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</si>
  <si>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</si>
  <si>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</si>
  <si>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</si>
  <si>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</si>
  <si>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</si>
  <si>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</si>
  <si>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</si>
  <si>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</si>
  <si>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</si>
  <si>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</si>
  <si>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</si>
  <si>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</si>
  <si>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</si>
  <si>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</si>
  <si>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</si>
  <si>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</si>
  <si>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</si>
  <si>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</si>
  <si>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</si>
  <si>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</si>
  <si>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</si>
  <si>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</si>
  <si>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</si>
  <si>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</si>
  <si>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</si>
  <si>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</si>
  <si>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</si>
  <si>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</si>
  <si>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</si>
  <si>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</si>
  <si>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</si>
  <si>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</si>
  <si>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</si>
  <si>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</si>
  <si>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</si>
  <si>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</si>
  <si>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</si>
  <si>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</si>
  <si>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</si>
  <si>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</si>
  <si>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</si>
  <si>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</si>
  <si>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</si>
  <si>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</si>
  <si>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</si>
  <si>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</si>
  <si>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</si>
  <si>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</si>
  <si>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</si>
  <si>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</si>
  <si>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</si>
  <si>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</si>
  <si>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</si>
  <si>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</si>
  <si>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</si>
  <si>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</si>
  <si>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</si>
  <si>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</si>
  <si>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</si>
  <si>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</si>
  <si>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</si>
  <si>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</si>
  <si>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</si>
  <si>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</si>
  <si>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</si>
  <si>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</si>
  <si>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</si>
  <si>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</si>
  <si>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</si>
  <si>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</si>
  <si>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</si>
  <si>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</si>
  <si>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</si>
  <si>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</si>
  <si>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</si>
  <si>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</si>
  <si>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</si>
  <si>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</si>
  <si>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</si>
  <si>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</si>
  <si>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</si>
  <si>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</si>
  <si>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</si>
  <si>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</si>
  <si>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</si>
  <si>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</si>
  <si>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</si>
  <si>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</si>
  <si>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</si>
  <si>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</si>
  <si>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</si>
  <si>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</si>
  <si>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</si>
  <si>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</si>
  <si>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</si>
  <si>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</si>
  <si>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</si>
  <si>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</si>
  <si>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</si>
  <si>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</si>
  <si>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</si>
  <si>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</si>
  <si>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</si>
  <si>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</si>
  <si>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</si>
  <si>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</si>
  <si>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</si>
  <si>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</si>
  <si>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</si>
  <si>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</si>
  <si>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</si>
  <si>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</si>
  <si>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</si>
  <si>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</si>
  <si>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</si>
  <si>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</si>
  <si>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</si>
  <si>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</si>
  <si>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</si>
  <si>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</si>
  <si>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</si>
  <si>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</si>
  <si>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</si>
  <si>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</si>
  <si>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</si>
  <si>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</si>
  <si>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</si>
  <si>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</si>
  <si>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</si>
  <si>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</si>
  <si>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</si>
  <si>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</si>
  <si>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</si>
  <si>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</si>
  <si>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</si>
  <si>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</si>
  <si>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</si>
  <si>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</si>
  <si>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</si>
  <si>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</si>
  <si>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</si>
  <si>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</si>
  <si>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</si>
  <si>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</si>
  <si>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</si>
  <si>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</si>
  <si>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</si>
  <si>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</si>
  <si>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</si>
  <si>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</si>
  <si>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</si>
  <si>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</si>
  <si>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</si>
  <si>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</si>
  <si>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</si>
  <si>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</si>
  <si>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</si>
  <si>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</si>
  <si>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</si>
  <si>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</si>
  <si>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</si>
  <si>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</si>
  <si>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</si>
  <si>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</si>
  <si>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</si>
  <si>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</si>
  <si>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</si>
  <si>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</si>
  <si>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</si>
  <si>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</si>
  <si>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</si>
  <si>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</si>
  <si>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</si>
  <si>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</si>
  <si>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</si>
  <si>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</si>
  <si>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</si>
  <si>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</si>
  <si>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</si>
  <si>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</si>
  <si>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</si>
  <si>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</si>
  <si>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</si>
  <si>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</si>
  <si>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</si>
  <si>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</si>
  <si>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</si>
  <si>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</si>
  <si>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</si>
  <si>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</si>
  <si>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</si>
  <si>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</si>
  <si>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</si>
  <si>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</si>
  <si>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</si>
  <si>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</si>
  <si>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</si>
  <si>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</si>
  <si>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</si>
  <si>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</si>
  <si>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</si>
  <si>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</si>
  <si>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</si>
  <si>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</si>
  <si>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</si>
  <si>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</si>
  <si>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</si>
  <si>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</si>
  <si>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</si>
  <si>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</si>
  <si>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</si>
  <si>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</si>
  <si>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</si>
  <si>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</si>
  <si>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</si>
  <si>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</si>
  <si>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</si>
  <si>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</si>
  <si>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</si>
  <si>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</si>
  <si>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34042</t>
  </si>
  <si>
    <t>ZWEVEGEM</t>
  </si>
  <si>
    <t>Eandis (januari 2018); Infrax (juni 2018)</t>
  </si>
  <si>
    <t>MOW (september 2017)</t>
  </si>
  <si>
    <t>referentietaak LNE (2017); Jaarverslag De Lijn (2016)</t>
  </si>
  <si>
    <t>VEA (april 2018)</t>
  </si>
  <si>
    <t>VEA (januari 2017)</t>
  </si>
  <si>
    <t>VEA (juni 2018)</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</si>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</sst>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195744.74558038605</c:v>
                </c:pt>
                <c:pt idx="1">
                  <c:v>56638.355924701704</c:v>
                </c:pt>
                <c:pt idx="2">
                  <c:v>1920.443</c:v>
                </c:pt>
                <c:pt idx="3">
                  <c:v>13863.887491905938</c:v>
                </c:pt>
                <c:pt idx="4">
                  <c:v>174548.13420469643</c:v>
                </c:pt>
                <c:pt idx="5">
                  <c:v>85367.38942231414</c:v>
                </c:pt>
                <c:pt idx="6">
                  <c:v>1167.5902888967405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195744.74558038605</c:v>
                </c:pt>
                <c:pt idx="1">
                  <c:v>56638.355924701704</c:v>
                </c:pt>
                <c:pt idx="2">
                  <c:v>1920.443</c:v>
                </c:pt>
                <c:pt idx="3">
                  <c:v>13863.887491905938</c:v>
                </c:pt>
                <c:pt idx="4">
                  <c:v>174548.13420469643</c:v>
                </c:pt>
                <c:pt idx="5">
                  <c:v>85367.38942231414</c:v>
                </c:pt>
                <c:pt idx="6">
                  <c:v>1167.5902888967405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37446.882253456461</c:v>
                </c:pt>
                <c:pt idx="2">
                  <c:v>10492.342844572628</c:v>
                </c:pt>
                <c:pt idx="3">
                  <c:v>356.05741582010393</c:v>
                </c:pt>
                <c:pt idx="4">
                  <c:v>3496.4594473444581</c:v>
                </c:pt>
                <c:pt idx="5">
                  <c:v>34408.51100417893</c:v>
                </c:pt>
                <c:pt idx="6">
                  <c:v>21349.992902420803</c:v>
                </c:pt>
                <c:pt idx="7">
                  <c:v>294.99234424835947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37446.882253456461</c:v>
                </c:pt>
                <c:pt idx="2">
                  <c:v>10492.342844572628</c:v>
                </c:pt>
                <c:pt idx="3">
                  <c:v>356.05741582010393</c:v>
                </c:pt>
                <c:pt idx="4">
                  <c:v>3496.4594473444581</c:v>
                </c:pt>
                <c:pt idx="5">
                  <c:v>34408.51100417893</c:v>
                </c:pt>
                <c:pt idx="6">
                  <c:v>21349.992902420803</c:v>
                </c:pt>
                <c:pt idx="7">
                  <c:v>294.99234424835947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26983.35604913831</v>
      </c>
      <c r="D10" s="1013">
        <f ca="1">tertiair!C16</f>
        <v>3857.1428571428573</v>
      </c>
      <c r="E10" s="1013">
        <f ca="1">tertiair!D16</f>
        <v>23560.331073964768</v>
      </c>
      <c r="F10" s="1013">
        <f>tertiair!E16</f>
        <v>287.89284320493903</v>
      </c>
      <c r="G10" s="1013">
        <f ca="1">tertiair!F16</f>
        <v>3824.0860053344645</v>
      </c>
      <c r="H10" s="1013">
        <f>tertiair!G16</f>
        <v>0</v>
      </c>
      <c r="I10" s="1013">
        <f>tertiair!H16</f>
        <v>0</v>
      </c>
      <c r="J10" s="1013">
        <f>tertiair!I16</f>
        <v>0</v>
      </c>
      <c r="K10" s="1013">
        <f>tertiair!J16</f>
        <v>4.0095916365605208E-2</v>
      </c>
      <c r="L10" s="1013">
        <f>tertiair!K16</f>
        <v>0</v>
      </c>
      <c r="M10" s="1013">
        <f ca="1">tertiair!L16</f>
        <v>0</v>
      </c>
      <c r="N10" s="1013">
        <f>tertiair!M16</f>
        <v>0</v>
      </c>
      <c r="O10" s="1013">
        <f ca="1">tertiair!N16</f>
        <v>0</v>
      </c>
      <c r="P10" s="1013">
        <f>tertiair!O16</f>
        <v>7.8166666666666664</v>
      </c>
      <c r="Q10" s="1014">
        <f>tertiair!P16</f>
        <v>38.133333333333333</v>
      </c>
      <c r="R10" s="700">
        <f ca="1">SUM(C10:Q10)</f>
        <v>58558.798924701703</v>
      </c>
      <c r="S10" s="67"/>
    </row>
    <row r="11" spans="1:19" s="473" customFormat="1">
      <c r="A11" s="809" t="s">
        <v>225</v>
      </c>
      <c r="B11" s="814"/>
      <c r="C11" s="1013">
        <f>huishoudens!B8</f>
        <v>43160.486553486888</v>
      </c>
      <c r="D11" s="1013">
        <f>huishoudens!C8</f>
        <v>0</v>
      </c>
      <c r="E11" s="1013">
        <f>huishoudens!D8</f>
        <v>76242.38654563298</v>
      </c>
      <c r="F11" s="1013">
        <f>huishoudens!E8</f>
        <v>4387.4730743055079</v>
      </c>
      <c r="G11" s="1013">
        <f>huishoudens!F8</f>
        <v>47727.645252257862</v>
      </c>
      <c r="H11" s="1013">
        <f>huishoudens!G8</f>
        <v>0</v>
      </c>
      <c r="I11" s="1013">
        <f>huishoudens!H8</f>
        <v>0</v>
      </c>
      <c r="J11" s="1013">
        <f>huishoudens!I8</f>
        <v>0</v>
      </c>
      <c r="K11" s="1013">
        <f>huishoudens!J8</f>
        <v>860.35197800803235</v>
      </c>
      <c r="L11" s="1013">
        <f>huishoudens!K8</f>
        <v>0</v>
      </c>
      <c r="M11" s="1013">
        <f>huishoudens!L8</f>
        <v>0</v>
      </c>
      <c r="N11" s="1013">
        <f>huishoudens!M8</f>
        <v>0</v>
      </c>
      <c r="O11" s="1013">
        <f>huishoudens!N8</f>
        <v>21426.448843361446</v>
      </c>
      <c r="P11" s="1013">
        <f>huishoudens!O8</f>
        <v>490.88666666666666</v>
      </c>
      <c r="Q11" s="1014">
        <f>huishoudens!P8</f>
        <v>1449.0666666666666</v>
      </c>
      <c r="R11" s="700">
        <f>SUM(C11:Q11)</f>
        <v>195744.74558038605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18478.577429887977</v>
      </c>
      <c r="D13" s="1013">
        <f>industrie!C18</f>
        <v>0</v>
      </c>
      <c r="E13" s="1013">
        <f>industrie!D18</f>
        <v>145949.96090343618</v>
      </c>
      <c r="F13" s="1013">
        <f>industrie!E18</f>
        <v>1320.8936044956176</v>
      </c>
      <c r="G13" s="1013">
        <f>industrie!F18</f>
        <v>4427.6580886118709</v>
      </c>
      <c r="H13" s="1013">
        <f>industrie!G18</f>
        <v>0</v>
      </c>
      <c r="I13" s="1013">
        <f>industrie!H18</f>
        <v>0</v>
      </c>
      <c r="J13" s="1013">
        <f>industrie!I18</f>
        <v>0</v>
      </c>
      <c r="K13" s="1013">
        <f>industrie!J18</f>
        <v>52.522613070792723</v>
      </c>
      <c r="L13" s="1013">
        <f>industrie!K18</f>
        <v>0</v>
      </c>
      <c r="M13" s="1013">
        <f>industrie!L18</f>
        <v>0</v>
      </c>
      <c r="N13" s="1013">
        <f>industrie!M18</f>
        <v>0</v>
      </c>
      <c r="O13" s="1013">
        <f>industrie!N18</f>
        <v>4318.5215651939707</v>
      </c>
      <c r="P13" s="1013">
        <f>industrie!O18</f>
        <v>0</v>
      </c>
      <c r="Q13" s="1014">
        <f>industrie!P18</f>
        <v>0</v>
      </c>
      <c r="R13" s="700">
        <f>SUM(C13:Q13)</f>
        <v>174548.13420469643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88622.420032513182</v>
      </c>
      <c r="D16" s="732">
        <f t="shared" ref="D16:R16" ca="1" si="0">SUM(D9:D15)</f>
        <v>3857.1428571428573</v>
      </c>
      <c r="E16" s="732">
        <f t="shared" ca="1" si="0"/>
        <v>245752.67852303392</v>
      </c>
      <c r="F16" s="732">
        <f t="shared" si="0"/>
        <v>5996.2595220060648</v>
      </c>
      <c r="G16" s="732">
        <f t="shared" ca="1" si="0"/>
        <v>55979.389346204196</v>
      </c>
      <c r="H16" s="732">
        <f t="shared" si="0"/>
        <v>0</v>
      </c>
      <c r="I16" s="732">
        <f t="shared" si="0"/>
        <v>0</v>
      </c>
      <c r="J16" s="732">
        <f t="shared" si="0"/>
        <v>0</v>
      </c>
      <c r="K16" s="732">
        <f t="shared" si="0"/>
        <v>912.91468699519078</v>
      </c>
      <c r="L16" s="732">
        <f t="shared" si="0"/>
        <v>0</v>
      </c>
      <c r="M16" s="732">
        <f t="shared" ca="1" si="0"/>
        <v>0</v>
      </c>
      <c r="N16" s="732">
        <f t="shared" si="0"/>
        <v>0</v>
      </c>
      <c r="O16" s="732">
        <f t="shared" ca="1" si="0"/>
        <v>25744.970408555419</v>
      </c>
      <c r="P16" s="732">
        <f t="shared" si="0"/>
        <v>498.70333333333332</v>
      </c>
      <c r="Q16" s="732">
        <f t="shared" si="0"/>
        <v>1487.2</v>
      </c>
      <c r="R16" s="732">
        <f t="shared" ca="1" si="0"/>
        <v>428851.67870978417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1104.8402406305597</v>
      </c>
      <c r="I19" s="1013">
        <f>transport!H54</f>
        <v>0</v>
      </c>
      <c r="J19" s="1013">
        <f>transport!I54</f>
        <v>0</v>
      </c>
      <c r="K19" s="1013">
        <f>transport!J54</f>
        <v>0</v>
      </c>
      <c r="L19" s="1013">
        <f>transport!K54</f>
        <v>0</v>
      </c>
      <c r="M19" s="1013">
        <f>transport!L54</f>
        <v>0</v>
      </c>
      <c r="N19" s="1013">
        <f>transport!M54</f>
        <v>62.750048266180798</v>
      </c>
      <c r="O19" s="1013">
        <f>transport!N54</f>
        <v>0</v>
      </c>
      <c r="P19" s="1013">
        <f>transport!O54</f>
        <v>0</v>
      </c>
      <c r="Q19" s="1014">
        <f>transport!P54</f>
        <v>0</v>
      </c>
      <c r="R19" s="700">
        <f>SUM(C19:Q19)</f>
        <v>1167.5902888967405</v>
      </c>
      <c r="S19" s="67"/>
    </row>
    <row r="20" spans="1:19" s="473" customFormat="1">
      <c r="A20" s="809" t="s">
        <v>307</v>
      </c>
      <c r="B20" s="814"/>
      <c r="C20" s="1013">
        <f>transport!B14</f>
        <v>33.814583291819709</v>
      </c>
      <c r="D20" s="1013">
        <f>transport!C14</f>
        <v>0</v>
      </c>
      <c r="E20" s="1013">
        <f>transport!D14</f>
        <v>142.91531922742669</v>
      </c>
      <c r="F20" s="1013">
        <f>transport!E14</f>
        <v>185.67170931252932</v>
      </c>
      <c r="G20" s="1013">
        <f>transport!F14</f>
        <v>0</v>
      </c>
      <c r="H20" s="1013">
        <f>transport!G14</f>
        <v>64792.511052262678</v>
      </c>
      <c r="I20" s="1013">
        <f>transport!H14</f>
        <v>15956.25191557705</v>
      </c>
      <c r="J20" s="1013">
        <f>transport!I14</f>
        <v>0</v>
      </c>
      <c r="K20" s="1013">
        <f>transport!J14</f>
        <v>0</v>
      </c>
      <c r="L20" s="1013">
        <f>transport!K14</f>
        <v>0</v>
      </c>
      <c r="M20" s="1013">
        <f>transport!L14</f>
        <v>0</v>
      </c>
      <c r="N20" s="1013">
        <f>transport!M14</f>
        <v>4256.2248426426377</v>
      </c>
      <c r="O20" s="1013">
        <f>transport!N14</f>
        <v>0</v>
      </c>
      <c r="P20" s="1013">
        <f>transport!O14</f>
        <v>0</v>
      </c>
      <c r="Q20" s="1014">
        <f>transport!P14</f>
        <v>0</v>
      </c>
      <c r="R20" s="700">
        <f>SUM(C20:Q20)</f>
        <v>85367.38942231414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33.814583291819709</v>
      </c>
      <c r="D22" s="812">
        <f t="shared" ref="D22:R22" si="1">SUM(D18:D21)</f>
        <v>0</v>
      </c>
      <c r="E22" s="812">
        <f t="shared" si="1"/>
        <v>142.91531922742669</v>
      </c>
      <c r="F22" s="812">
        <f t="shared" si="1"/>
        <v>185.67170931252932</v>
      </c>
      <c r="G22" s="812">
        <f t="shared" si="1"/>
        <v>0</v>
      </c>
      <c r="H22" s="812">
        <f t="shared" si="1"/>
        <v>65897.351292893232</v>
      </c>
      <c r="I22" s="812">
        <f t="shared" si="1"/>
        <v>15956.25191557705</v>
      </c>
      <c r="J22" s="812">
        <f t="shared" si="1"/>
        <v>0</v>
      </c>
      <c r="K22" s="812">
        <f t="shared" si="1"/>
        <v>0</v>
      </c>
      <c r="L22" s="812">
        <f t="shared" si="1"/>
        <v>0</v>
      </c>
      <c r="M22" s="812">
        <f t="shared" si="1"/>
        <v>0</v>
      </c>
      <c r="N22" s="812">
        <f t="shared" si="1"/>
        <v>4318.9748909088185</v>
      </c>
      <c r="O22" s="812">
        <f t="shared" si="1"/>
        <v>0</v>
      </c>
      <c r="P22" s="812">
        <f t="shared" si="1"/>
        <v>0</v>
      </c>
      <c r="Q22" s="812">
        <f t="shared" si="1"/>
        <v>0</v>
      </c>
      <c r="R22" s="812">
        <f t="shared" si="1"/>
        <v>86534.979711210879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2512.9540043938919</v>
      </c>
      <c r="D24" s="1013">
        <f>+landbouw!C8</f>
        <v>0</v>
      </c>
      <c r="E24" s="1013">
        <f>+landbouw!D8</f>
        <v>444.16643554577479</v>
      </c>
      <c r="F24" s="1013">
        <f>+landbouw!E8</f>
        <v>73.863393636577555</v>
      </c>
      <c r="G24" s="1013">
        <f>+landbouw!F8</f>
        <v>10468.830589398009</v>
      </c>
      <c r="H24" s="1013">
        <f>+landbouw!G8</f>
        <v>0</v>
      </c>
      <c r="I24" s="1013">
        <f>+landbouw!H8</f>
        <v>0</v>
      </c>
      <c r="J24" s="1013">
        <f>+landbouw!I8</f>
        <v>0</v>
      </c>
      <c r="K24" s="1013">
        <f>+landbouw!J8</f>
        <v>364.07306893168442</v>
      </c>
      <c r="L24" s="1013">
        <f>+landbouw!K8</f>
        <v>0</v>
      </c>
      <c r="M24" s="1013">
        <f>+landbouw!L8</f>
        <v>0</v>
      </c>
      <c r="N24" s="1013">
        <f>+landbouw!M8</f>
        <v>0</v>
      </c>
      <c r="O24" s="1013">
        <f>+landbouw!N8</f>
        <v>0</v>
      </c>
      <c r="P24" s="1013">
        <f>+landbouw!O8</f>
        <v>0</v>
      </c>
      <c r="Q24" s="1014">
        <f>+landbouw!P8</f>
        <v>0</v>
      </c>
      <c r="R24" s="700">
        <f>SUM(C24:Q24)</f>
        <v>13863.887491905938</v>
      </c>
      <c r="S24" s="67"/>
    </row>
    <row r="25" spans="1:19" s="473" customFormat="1" ht="15" thickBot="1">
      <c r="A25" s="831" t="s">
        <v>836</v>
      </c>
      <c r="B25" s="1016"/>
      <c r="C25" s="1017">
        <f>IF(Onbekend_ele_kWh="---",0,Onbekend_ele_kWh)/1000+IF(REST_rest_ele_kWh="---",0,REST_rest_ele_kWh)/1000</f>
        <v>1104.2539923252998</v>
      </c>
      <c r="D25" s="1017"/>
      <c r="E25" s="1017">
        <f>IF(onbekend_gas_kWh="---",0,onbekend_gas_kWh)/1000+IF(REST_rest_gas_kWh="---",0,REST_rest_gas_kWh)/1000</f>
        <v>2104.8579906562099</v>
      </c>
      <c r="F25" s="1017"/>
      <c r="G25" s="1017"/>
      <c r="H25" s="1017"/>
      <c r="I25" s="1017"/>
      <c r="J25" s="1017"/>
      <c r="K25" s="1017"/>
      <c r="L25" s="1017"/>
      <c r="M25" s="1017"/>
      <c r="N25" s="1017"/>
      <c r="O25" s="1017"/>
      <c r="P25" s="1017"/>
      <c r="Q25" s="1018"/>
      <c r="R25" s="700">
        <f>SUM(C25:Q25)</f>
        <v>3209.1119829815098</v>
      </c>
      <c r="S25" s="67"/>
    </row>
    <row r="26" spans="1:19" s="473" customFormat="1" ht="15.75" thickBot="1">
      <c r="A26" s="705" t="s">
        <v>837</v>
      </c>
      <c r="B26" s="817"/>
      <c r="C26" s="812">
        <f>SUM(C24:C25)</f>
        <v>3617.2079967191917</v>
      </c>
      <c r="D26" s="812">
        <f t="shared" ref="D26:R26" si="2">SUM(D24:D25)</f>
        <v>0</v>
      </c>
      <c r="E26" s="812">
        <f t="shared" si="2"/>
        <v>2549.0244262019846</v>
      </c>
      <c r="F26" s="812">
        <f t="shared" si="2"/>
        <v>73.863393636577555</v>
      </c>
      <c r="G26" s="812">
        <f t="shared" si="2"/>
        <v>10468.830589398009</v>
      </c>
      <c r="H26" s="812">
        <f t="shared" si="2"/>
        <v>0</v>
      </c>
      <c r="I26" s="812">
        <f t="shared" si="2"/>
        <v>0</v>
      </c>
      <c r="J26" s="812">
        <f t="shared" si="2"/>
        <v>0</v>
      </c>
      <c r="K26" s="812">
        <f t="shared" si="2"/>
        <v>364.07306893168442</v>
      </c>
      <c r="L26" s="812">
        <f t="shared" si="2"/>
        <v>0</v>
      </c>
      <c r="M26" s="812">
        <f t="shared" si="2"/>
        <v>0</v>
      </c>
      <c r="N26" s="812">
        <f t="shared" si="2"/>
        <v>0</v>
      </c>
      <c r="O26" s="812">
        <f t="shared" si="2"/>
        <v>0</v>
      </c>
      <c r="P26" s="812">
        <f t="shared" si="2"/>
        <v>0</v>
      </c>
      <c r="Q26" s="812">
        <f t="shared" si="2"/>
        <v>0</v>
      </c>
      <c r="R26" s="812">
        <f t="shared" si="2"/>
        <v>17072.999474887449</v>
      </c>
      <c r="S26" s="67"/>
    </row>
    <row r="27" spans="1:19" s="473" customFormat="1" ht="17.25" thickTop="1" thickBot="1">
      <c r="A27" s="706" t="s">
        <v>116</v>
      </c>
      <c r="B27" s="805"/>
      <c r="C27" s="707">
        <f ca="1">C22+C16+C26</f>
        <v>92273.442612524203</v>
      </c>
      <c r="D27" s="707">
        <f t="shared" ref="D27:R27" ca="1" si="3">D22+D16+D26</f>
        <v>3857.1428571428573</v>
      </c>
      <c r="E27" s="707">
        <f t="shared" ca="1" si="3"/>
        <v>248444.61826846335</v>
      </c>
      <c r="F27" s="707">
        <f t="shared" si="3"/>
        <v>6255.7946249551715</v>
      </c>
      <c r="G27" s="707">
        <f t="shared" ca="1" si="3"/>
        <v>66448.219935602203</v>
      </c>
      <c r="H27" s="707">
        <f t="shared" si="3"/>
        <v>65897.351292893232</v>
      </c>
      <c r="I27" s="707">
        <f t="shared" si="3"/>
        <v>15956.25191557705</v>
      </c>
      <c r="J27" s="707">
        <f t="shared" si="3"/>
        <v>0</v>
      </c>
      <c r="K27" s="707">
        <f t="shared" si="3"/>
        <v>1276.9877559268753</v>
      </c>
      <c r="L27" s="707">
        <f t="shared" si="3"/>
        <v>0</v>
      </c>
      <c r="M27" s="707">
        <f t="shared" ca="1" si="3"/>
        <v>0</v>
      </c>
      <c r="N27" s="707">
        <f t="shared" si="3"/>
        <v>4318.9748909088185</v>
      </c>
      <c r="O27" s="707">
        <f t="shared" ca="1" si="3"/>
        <v>25744.970408555419</v>
      </c>
      <c r="P27" s="707">
        <f t="shared" si="3"/>
        <v>498.70333333333332</v>
      </c>
      <c r="Q27" s="707">
        <f t="shared" si="3"/>
        <v>1487.2</v>
      </c>
      <c r="R27" s="707">
        <f t="shared" ca="1" si="3"/>
        <v>532459.6578958825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5002.8165506656314</v>
      </c>
      <c r="D40" s="1013">
        <f ca="1">tertiair!C20</f>
        <v>0</v>
      </c>
      <c r="E40" s="1013">
        <f ca="1">tertiair!D20</f>
        <v>4759.1868769408829</v>
      </c>
      <c r="F40" s="1013">
        <f>tertiair!E20</f>
        <v>65.351675407521157</v>
      </c>
      <c r="G40" s="1013">
        <f ca="1">tertiair!F20</f>
        <v>1021.0309634243021</v>
      </c>
      <c r="H40" s="1013">
        <f>tertiair!G20</f>
        <v>0</v>
      </c>
      <c r="I40" s="1013">
        <f>tertiair!H20</f>
        <v>0</v>
      </c>
      <c r="J40" s="1013">
        <f>tertiair!I20</f>
        <v>0</v>
      </c>
      <c r="K40" s="1013">
        <f>tertiair!J20</f>
        <v>1.4193954393424243E-2</v>
      </c>
      <c r="L40" s="1013">
        <f>tertiair!K20</f>
        <v>0</v>
      </c>
      <c r="M40" s="1013">
        <f ca="1">tertiair!L20</f>
        <v>0</v>
      </c>
      <c r="N40" s="1013">
        <f>tertiair!M20</f>
        <v>0</v>
      </c>
      <c r="O40" s="1013">
        <f ca="1">tertiair!N20</f>
        <v>0</v>
      </c>
      <c r="P40" s="1013">
        <f>tertiair!O20</f>
        <v>0</v>
      </c>
      <c r="Q40" s="774">
        <f>tertiair!P20</f>
        <v>0</v>
      </c>
      <c r="R40" s="850">
        <f t="shared" ca="1" si="4"/>
        <v>10848.400260392731</v>
      </c>
    </row>
    <row r="41" spans="1:18">
      <c r="A41" s="822" t="s">
        <v>225</v>
      </c>
      <c r="B41" s="829"/>
      <c r="C41" s="1013">
        <f ca="1">huishoudens!B12</f>
        <v>8002.1179008035569</v>
      </c>
      <c r="D41" s="1013">
        <f ca="1">huishoudens!C12</f>
        <v>0</v>
      </c>
      <c r="E41" s="1013">
        <f>huishoudens!D12</f>
        <v>15400.962082217862</v>
      </c>
      <c r="F41" s="1013">
        <f>huishoudens!E12</f>
        <v>995.95638786735037</v>
      </c>
      <c r="G41" s="1013">
        <f>huishoudens!F12</f>
        <v>12743.281282352849</v>
      </c>
      <c r="H41" s="1013">
        <f>huishoudens!G12</f>
        <v>0</v>
      </c>
      <c r="I41" s="1013">
        <f>huishoudens!H12</f>
        <v>0</v>
      </c>
      <c r="J41" s="1013">
        <f>huishoudens!I12</f>
        <v>0</v>
      </c>
      <c r="K41" s="1013">
        <f>huishoudens!J12</f>
        <v>304.56460021484344</v>
      </c>
      <c r="L41" s="1013">
        <f>huishoudens!K12</f>
        <v>0</v>
      </c>
      <c r="M41" s="1013">
        <f>huishoudens!L12</f>
        <v>0</v>
      </c>
      <c r="N41" s="1013">
        <f>huishoudens!M12</f>
        <v>0</v>
      </c>
      <c r="O41" s="1013">
        <f>huishoudens!N12</f>
        <v>0</v>
      </c>
      <c r="P41" s="1013">
        <f>huishoudens!O12</f>
        <v>0</v>
      </c>
      <c r="Q41" s="774">
        <f>huishoudens!P12</f>
        <v>0</v>
      </c>
      <c r="R41" s="850">
        <f t="shared" ca="1" si="4"/>
        <v>37446.882253456461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3425.9983387778816</v>
      </c>
      <c r="D43" s="1013">
        <f ca="1">industrie!C22</f>
        <v>0</v>
      </c>
      <c r="E43" s="1013">
        <f>industrie!D22</f>
        <v>29481.892102494108</v>
      </c>
      <c r="F43" s="1013">
        <f>industrie!E22</f>
        <v>299.84284822050523</v>
      </c>
      <c r="G43" s="1013">
        <f>industrie!F22</f>
        <v>1182.1847096593697</v>
      </c>
      <c r="H43" s="1013">
        <f>industrie!G22</f>
        <v>0</v>
      </c>
      <c r="I43" s="1013">
        <f>industrie!H22</f>
        <v>0</v>
      </c>
      <c r="J43" s="1013">
        <f>industrie!I22</f>
        <v>0</v>
      </c>
      <c r="K43" s="1013">
        <f>industrie!J22</f>
        <v>18.593005027060624</v>
      </c>
      <c r="L43" s="1013">
        <f>industrie!K22</f>
        <v>0</v>
      </c>
      <c r="M43" s="1013">
        <f>industrie!L22</f>
        <v>0</v>
      </c>
      <c r="N43" s="1013">
        <f>industrie!M22</f>
        <v>0</v>
      </c>
      <c r="O43" s="1013">
        <f>industrie!N22</f>
        <v>0</v>
      </c>
      <c r="P43" s="1013">
        <f>industrie!O22</f>
        <v>0</v>
      </c>
      <c r="Q43" s="774">
        <f>industrie!P22</f>
        <v>0</v>
      </c>
      <c r="R43" s="849">
        <f t="shared" ca="1" si="4"/>
        <v>34408.51100417893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16430.932790247069</v>
      </c>
      <c r="D46" s="732">
        <f t="shared" ref="D46:Q46" ca="1" si="5">SUM(D39:D45)</f>
        <v>0</v>
      </c>
      <c r="E46" s="732">
        <f t="shared" ca="1" si="5"/>
        <v>49642.041061652853</v>
      </c>
      <c r="F46" s="732">
        <f t="shared" si="5"/>
        <v>1361.1509114953767</v>
      </c>
      <c r="G46" s="732">
        <f t="shared" ca="1" si="5"/>
        <v>14946.496955436522</v>
      </c>
      <c r="H46" s="732">
        <f t="shared" si="5"/>
        <v>0</v>
      </c>
      <c r="I46" s="732">
        <f t="shared" si="5"/>
        <v>0</v>
      </c>
      <c r="J46" s="732">
        <f t="shared" si="5"/>
        <v>0</v>
      </c>
      <c r="K46" s="732">
        <f t="shared" si="5"/>
        <v>323.17179919629746</v>
      </c>
      <c r="L46" s="732">
        <f t="shared" si="5"/>
        <v>0</v>
      </c>
      <c r="M46" s="732">
        <f t="shared" ca="1" si="5"/>
        <v>0</v>
      </c>
      <c r="N46" s="732">
        <f t="shared" si="5"/>
        <v>0</v>
      </c>
      <c r="O46" s="732">
        <f t="shared" ca="1" si="5"/>
        <v>0</v>
      </c>
      <c r="P46" s="732">
        <f t="shared" si="5"/>
        <v>0</v>
      </c>
      <c r="Q46" s="732">
        <f t="shared" si="5"/>
        <v>0</v>
      </c>
      <c r="R46" s="732">
        <f ca="1">SUM(R39:R45)</f>
        <v>82703.79351802812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294.99234424835947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294.99234424835947</v>
      </c>
    </row>
    <row r="50" spans="1:18">
      <c r="A50" s="825" t="s">
        <v>307</v>
      </c>
      <c r="B50" s="835"/>
      <c r="C50" s="703">
        <f ca="1">transport!B18</f>
        <v>6.2693519900975918</v>
      </c>
      <c r="D50" s="703">
        <f>transport!C18</f>
        <v>0</v>
      </c>
      <c r="E50" s="703">
        <f>transport!D18</f>
        <v>28.868894483940196</v>
      </c>
      <c r="F50" s="703">
        <f>transport!E18</f>
        <v>42.147478013944159</v>
      </c>
      <c r="G50" s="703">
        <f>transport!F18</f>
        <v>0</v>
      </c>
      <c r="H50" s="703">
        <f>transport!G18</f>
        <v>17299.600450954134</v>
      </c>
      <c r="I50" s="703">
        <f>transport!H18</f>
        <v>3973.1067269786854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21349.992902420803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6.2693519900975918</v>
      </c>
      <c r="D52" s="732">
        <f t="shared" ref="D52:Q52" ca="1" si="6">SUM(D48:D51)</f>
        <v>0</v>
      </c>
      <c r="E52" s="732">
        <f t="shared" si="6"/>
        <v>28.868894483940196</v>
      </c>
      <c r="F52" s="732">
        <f t="shared" si="6"/>
        <v>42.147478013944159</v>
      </c>
      <c r="G52" s="732">
        <f t="shared" si="6"/>
        <v>0</v>
      </c>
      <c r="H52" s="732">
        <f t="shared" si="6"/>
        <v>17594.592795202494</v>
      </c>
      <c r="I52" s="732">
        <f t="shared" si="6"/>
        <v>3973.1067269786854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21644.985246669163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465.91120323762345</v>
      </c>
      <c r="D54" s="703">
        <f ca="1">+landbouw!C12</f>
        <v>0</v>
      </c>
      <c r="E54" s="703">
        <f>+landbouw!D12</f>
        <v>89.721619980246516</v>
      </c>
      <c r="F54" s="703">
        <f>+landbouw!E12</f>
        <v>16.766990355503104</v>
      </c>
      <c r="G54" s="703">
        <f>+landbouw!F12</f>
        <v>2795.1777673692686</v>
      </c>
      <c r="H54" s="703">
        <f>+landbouw!G12</f>
        <v>0</v>
      </c>
      <c r="I54" s="703">
        <f>+landbouw!H12</f>
        <v>0</v>
      </c>
      <c r="J54" s="703">
        <f>+landbouw!I12</f>
        <v>0</v>
      </c>
      <c r="K54" s="703">
        <f>+landbouw!J12</f>
        <v>128.88186640181627</v>
      </c>
      <c r="L54" s="703">
        <f>+landbouw!K12</f>
        <v>0</v>
      </c>
      <c r="M54" s="703">
        <f>+landbouw!L12</f>
        <v>0</v>
      </c>
      <c r="N54" s="703">
        <f>+landbouw!M12</f>
        <v>0</v>
      </c>
      <c r="O54" s="703">
        <f>+landbouw!N12</f>
        <v>0</v>
      </c>
      <c r="P54" s="703">
        <f>+landbouw!O12</f>
        <v>0</v>
      </c>
      <c r="Q54" s="704">
        <f>+landbouw!P12</f>
        <v>0</v>
      </c>
      <c r="R54" s="731">
        <f ca="1">SUM(C54:Q54)</f>
        <v>3496.4594473444581</v>
      </c>
    </row>
    <row r="55" spans="1:18" ht="15" thickBot="1">
      <c r="A55" s="825" t="s">
        <v>836</v>
      </c>
      <c r="B55" s="835"/>
      <c r="C55" s="703">
        <f ca="1">C25*'EF ele_warmte'!B12</f>
        <v>204.73287825589156</v>
      </c>
      <c r="D55" s="703"/>
      <c r="E55" s="703">
        <f>E25*EF_CO2_aardgas</f>
        <v>425.18131411255445</v>
      </c>
      <c r="F55" s="703"/>
      <c r="G55" s="703"/>
      <c r="H55" s="703"/>
      <c r="I55" s="703"/>
      <c r="J55" s="703"/>
      <c r="K55" s="703"/>
      <c r="L55" s="703"/>
      <c r="M55" s="703"/>
      <c r="N55" s="703"/>
      <c r="O55" s="703"/>
      <c r="P55" s="703"/>
      <c r="Q55" s="704"/>
      <c r="R55" s="731">
        <f ca="1">SUM(C55:Q55)</f>
        <v>629.91419236844604</v>
      </c>
    </row>
    <row r="56" spans="1:18" ht="15.75" thickBot="1">
      <c r="A56" s="823" t="s">
        <v>837</v>
      </c>
      <c r="B56" s="836"/>
      <c r="C56" s="732">
        <f ca="1">SUM(C54:C55)</f>
        <v>670.64408149351505</v>
      </c>
      <c r="D56" s="732">
        <f t="shared" ref="D56:Q56" ca="1" si="7">SUM(D54:D55)</f>
        <v>0</v>
      </c>
      <c r="E56" s="732">
        <f t="shared" si="7"/>
        <v>514.90293409280093</v>
      </c>
      <c r="F56" s="732">
        <f t="shared" si="7"/>
        <v>16.766990355503104</v>
      </c>
      <c r="G56" s="732">
        <f t="shared" si="7"/>
        <v>2795.1777673692686</v>
      </c>
      <c r="H56" s="732">
        <f t="shared" si="7"/>
        <v>0</v>
      </c>
      <c r="I56" s="732">
        <f t="shared" si="7"/>
        <v>0</v>
      </c>
      <c r="J56" s="732">
        <f t="shared" si="7"/>
        <v>0</v>
      </c>
      <c r="K56" s="732">
        <f t="shared" si="7"/>
        <v>128.88186640181627</v>
      </c>
      <c r="L56" s="732">
        <f t="shared" si="7"/>
        <v>0</v>
      </c>
      <c r="M56" s="732">
        <f t="shared" si="7"/>
        <v>0</v>
      </c>
      <c r="N56" s="732">
        <f t="shared" si="7"/>
        <v>0</v>
      </c>
      <c r="O56" s="732">
        <f t="shared" si="7"/>
        <v>0</v>
      </c>
      <c r="P56" s="732">
        <f t="shared" si="7"/>
        <v>0</v>
      </c>
      <c r="Q56" s="733">
        <f t="shared" si="7"/>
        <v>0</v>
      </c>
      <c r="R56" s="734">
        <f ca="1">SUM(R54:R55)</f>
        <v>4126.3736397129042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17107.846223730681</v>
      </c>
      <c r="D61" s="740">
        <f t="shared" ref="D61:Q61" ca="1" si="8">D46+D52+D56</f>
        <v>0</v>
      </c>
      <c r="E61" s="740">
        <f t="shared" ca="1" si="8"/>
        <v>50185.812890229594</v>
      </c>
      <c r="F61" s="740">
        <f t="shared" si="8"/>
        <v>1420.0653798648241</v>
      </c>
      <c r="G61" s="740">
        <f t="shared" ca="1" si="8"/>
        <v>17741.67472280579</v>
      </c>
      <c r="H61" s="740">
        <f t="shared" si="8"/>
        <v>17594.592795202494</v>
      </c>
      <c r="I61" s="740">
        <f t="shared" si="8"/>
        <v>3973.1067269786854</v>
      </c>
      <c r="J61" s="740">
        <f t="shared" si="8"/>
        <v>0</v>
      </c>
      <c r="K61" s="740">
        <f t="shared" si="8"/>
        <v>452.05366559811375</v>
      </c>
      <c r="L61" s="740">
        <f t="shared" si="8"/>
        <v>0</v>
      </c>
      <c r="M61" s="740">
        <f t="shared" ca="1" si="8"/>
        <v>0</v>
      </c>
      <c r="N61" s="740">
        <f t="shared" si="8"/>
        <v>0</v>
      </c>
      <c r="O61" s="740">
        <f t="shared" ca="1" si="8"/>
        <v>0</v>
      </c>
      <c r="P61" s="740">
        <f t="shared" si="8"/>
        <v>0</v>
      </c>
      <c r="Q61" s="740">
        <f t="shared" si="8"/>
        <v>0</v>
      </c>
      <c r="R61" s="740">
        <f ca="1">R46+R52+R56</f>
        <v>108475.1524044102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0.1854037926770562</v>
      </c>
      <c r="D63" s="781">
        <f t="shared" ca="1" si="9"/>
        <v>0</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3531.0186567719961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8631.3550700929991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2700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3176.4705882352946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14862.373726864995</v>
      </c>
      <c r="C78" s="755">
        <f>SUM(C72:C77)</f>
        <v>0</v>
      </c>
      <c r="D78" s="756">
        <f t="shared" ref="D78:H78" si="10">SUM(D76:D77)</f>
        <v>0</v>
      </c>
      <c r="E78" s="756">
        <f t="shared" si="10"/>
        <v>0</v>
      </c>
      <c r="F78" s="756">
        <f t="shared" si="10"/>
        <v>0</v>
      </c>
      <c r="G78" s="756">
        <f t="shared" si="10"/>
        <v>0</v>
      </c>
      <c r="H78" s="756">
        <f t="shared" si="10"/>
        <v>0</v>
      </c>
      <c r="I78" s="756">
        <f>SUM(I76:I77)</f>
        <v>0</v>
      </c>
      <c r="J78" s="756">
        <f>SUM(J76:J77)</f>
        <v>3176.4705882352946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3857.1428571428573</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4537.815126050421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3857.1428571428573</v>
      </c>
      <c r="C90" s="755">
        <f>SUM(C87:C89)</f>
        <v>0</v>
      </c>
      <c r="D90" s="755">
        <f t="shared" ref="D90:H90" si="12">SUM(D87:D89)</f>
        <v>0</v>
      </c>
      <c r="E90" s="755">
        <f t="shared" si="12"/>
        <v>0</v>
      </c>
      <c r="F90" s="755">
        <f t="shared" si="12"/>
        <v>0</v>
      </c>
      <c r="G90" s="755">
        <f t="shared" si="12"/>
        <v>0</v>
      </c>
      <c r="H90" s="755">
        <f t="shared" si="12"/>
        <v>0</v>
      </c>
      <c r="I90" s="755">
        <f>SUM(I87:I89)</f>
        <v>0</v>
      </c>
      <c r="J90" s="755">
        <f>SUM(J87:J89)</f>
        <v>4537.815126050421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43160.486553486888</v>
      </c>
      <c r="C4" s="477">
        <f>huishoudens!C8</f>
        <v>0</v>
      </c>
      <c r="D4" s="477">
        <f>huishoudens!D8</f>
        <v>76242.38654563298</v>
      </c>
      <c r="E4" s="477">
        <f>huishoudens!E8</f>
        <v>4387.4730743055079</v>
      </c>
      <c r="F4" s="477">
        <f>huishoudens!F8</f>
        <v>47727.645252257862</v>
      </c>
      <c r="G4" s="477">
        <f>huishoudens!G8</f>
        <v>0</v>
      </c>
      <c r="H4" s="477">
        <f>huishoudens!H8</f>
        <v>0</v>
      </c>
      <c r="I4" s="477">
        <f>huishoudens!I8</f>
        <v>0</v>
      </c>
      <c r="J4" s="477">
        <f>huishoudens!J8</f>
        <v>860.35197800803235</v>
      </c>
      <c r="K4" s="477">
        <f>huishoudens!K8</f>
        <v>0</v>
      </c>
      <c r="L4" s="477">
        <f>huishoudens!L8</f>
        <v>0</v>
      </c>
      <c r="M4" s="477">
        <f>huishoudens!M8</f>
        <v>0</v>
      </c>
      <c r="N4" s="477">
        <f>huishoudens!N8</f>
        <v>21426.448843361446</v>
      </c>
      <c r="O4" s="477">
        <f>huishoudens!O8</f>
        <v>490.88666666666666</v>
      </c>
      <c r="P4" s="478">
        <f>huishoudens!P8</f>
        <v>1449.0666666666666</v>
      </c>
      <c r="Q4" s="479">
        <f>SUM(B4:P4)</f>
        <v>195744.74558038605</v>
      </c>
    </row>
    <row r="5" spans="1:17">
      <c r="A5" s="476" t="s">
        <v>156</v>
      </c>
      <c r="B5" s="477">
        <f ca="1">tertiair!B16</f>
        <v>25062.913049138311</v>
      </c>
      <c r="C5" s="477">
        <f ca="1">tertiair!C16</f>
        <v>3857.1428571428573</v>
      </c>
      <c r="D5" s="477">
        <f ca="1">tertiair!D16</f>
        <v>23560.331073964768</v>
      </c>
      <c r="E5" s="477">
        <f>tertiair!E16</f>
        <v>287.89284320493903</v>
      </c>
      <c r="F5" s="477">
        <f ca="1">tertiair!F16</f>
        <v>3824.0860053344645</v>
      </c>
      <c r="G5" s="477">
        <f>tertiair!G16</f>
        <v>0</v>
      </c>
      <c r="H5" s="477">
        <f>tertiair!H16</f>
        <v>0</v>
      </c>
      <c r="I5" s="477">
        <f>tertiair!I16</f>
        <v>0</v>
      </c>
      <c r="J5" s="477">
        <f>tertiair!J16</f>
        <v>4.0095916365605208E-2</v>
      </c>
      <c r="K5" s="477">
        <f>tertiair!K16</f>
        <v>0</v>
      </c>
      <c r="L5" s="477">
        <f ca="1">tertiair!L16</f>
        <v>0</v>
      </c>
      <c r="M5" s="477">
        <f>tertiair!M16</f>
        <v>0</v>
      </c>
      <c r="N5" s="477">
        <f ca="1">tertiair!N16</f>
        <v>0</v>
      </c>
      <c r="O5" s="477">
        <f>tertiair!O16</f>
        <v>7.8166666666666664</v>
      </c>
      <c r="P5" s="478">
        <f>tertiair!P16</f>
        <v>38.133333333333333</v>
      </c>
      <c r="Q5" s="476">
        <f t="shared" ref="Q5:Q14" ca="1" si="0">SUM(B5:P5)</f>
        <v>56638.355924701704</v>
      </c>
    </row>
    <row r="6" spans="1:17">
      <c r="A6" s="476" t="s">
        <v>194</v>
      </c>
      <c r="B6" s="477">
        <f>'openbare verlichting'!B8</f>
        <v>1920.443</v>
      </c>
      <c r="C6" s="477"/>
      <c r="D6" s="477"/>
      <c r="E6" s="477"/>
      <c r="F6" s="477"/>
      <c r="G6" s="477"/>
      <c r="H6" s="477"/>
      <c r="I6" s="477"/>
      <c r="J6" s="477"/>
      <c r="K6" s="477"/>
      <c r="L6" s="477"/>
      <c r="M6" s="477"/>
      <c r="N6" s="477"/>
      <c r="O6" s="477"/>
      <c r="P6" s="478"/>
      <c r="Q6" s="476">
        <f t="shared" si="0"/>
        <v>1920.443</v>
      </c>
    </row>
    <row r="7" spans="1:17">
      <c r="A7" s="476" t="s">
        <v>112</v>
      </c>
      <c r="B7" s="477">
        <f>landbouw!B8</f>
        <v>2512.9540043938919</v>
      </c>
      <c r="C7" s="477">
        <f>landbouw!C8</f>
        <v>0</v>
      </c>
      <c r="D7" s="477">
        <f>landbouw!D8</f>
        <v>444.16643554577479</v>
      </c>
      <c r="E7" s="477">
        <f>landbouw!E8</f>
        <v>73.863393636577555</v>
      </c>
      <c r="F7" s="477">
        <f>landbouw!F8</f>
        <v>10468.830589398009</v>
      </c>
      <c r="G7" s="477">
        <f>landbouw!G8</f>
        <v>0</v>
      </c>
      <c r="H7" s="477">
        <f>landbouw!H8</f>
        <v>0</v>
      </c>
      <c r="I7" s="477">
        <f>landbouw!I8</f>
        <v>0</v>
      </c>
      <c r="J7" s="477">
        <f>landbouw!J8</f>
        <v>364.07306893168442</v>
      </c>
      <c r="K7" s="477">
        <f>landbouw!K8</f>
        <v>0</v>
      </c>
      <c r="L7" s="477">
        <f>landbouw!L8</f>
        <v>0</v>
      </c>
      <c r="M7" s="477">
        <f>landbouw!M8</f>
        <v>0</v>
      </c>
      <c r="N7" s="477">
        <f>landbouw!N8</f>
        <v>0</v>
      </c>
      <c r="O7" s="477">
        <f>landbouw!O8</f>
        <v>0</v>
      </c>
      <c r="P7" s="478">
        <f>landbouw!P8</f>
        <v>0</v>
      </c>
      <c r="Q7" s="476">
        <f t="shared" si="0"/>
        <v>13863.887491905938</v>
      </c>
    </row>
    <row r="8" spans="1:17">
      <c r="A8" s="476" t="s">
        <v>635</v>
      </c>
      <c r="B8" s="477">
        <f>industrie!B18</f>
        <v>18478.577429887977</v>
      </c>
      <c r="C8" s="477">
        <f>industrie!C18</f>
        <v>0</v>
      </c>
      <c r="D8" s="477">
        <f>industrie!D18</f>
        <v>145949.96090343618</v>
      </c>
      <c r="E8" s="477">
        <f>industrie!E18</f>
        <v>1320.8936044956176</v>
      </c>
      <c r="F8" s="477">
        <f>industrie!F18</f>
        <v>4427.6580886118709</v>
      </c>
      <c r="G8" s="477">
        <f>industrie!G18</f>
        <v>0</v>
      </c>
      <c r="H8" s="477">
        <f>industrie!H18</f>
        <v>0</v>
      </c>
      <c r="I8" s="477">
        <f>industrie!I18</f>
        <v>0</v>
      </c>
      <c r="J8" s="477">
        <f>industrie!J18</f>
        <v>52.522613070792723</v>
      </c>
      <c r="K8" s="477">
        <f>industrie!K18</f>
        <v>0</v>
      </c>
      <c r="L8" s="477">
        <f>industrie!L18</f>
        <v>0</v>
      </c>
      <c r="M8" s="477">
        <f>industrie!M18</f>
        <v>0</v>
      </c>
      <c r="N8" s="477">
        <f>industrie!N18</f>
        <v>4318.5215651939707</v>
      </c>
      <c r="O8" s="477">
        <f>industrie!O18</f>
        <v>0</v>
      </c>
      <c r="P8" s="478">
        <f>industrie!P18</f>
        <v>0</v>
      </c>
      <c r="Q8" s="476">
        <f t="shared" si="0"/>
        <v>174548.13420469643</v>
      </c>
    </row>
    <row r="9" spans="1:17" s="482" customFormat="1">
      <c r="A9" s="480" t="s">
        <v>561</v>
      </c>
      <c r="B9" s="481">
        <f>transport!B14</f>
        <v>33.814583291819709</v>
      </c>
      <c r="C9" s="481">
        <f>transport!C14</f>
        <v>0</v>
      </c>
      <c r="D9" s="481">
        <f>transport!D14</f>
        <v>142.91531922742669</v>
      </c>
      <c r="E9" s="481">
        <f>transport!E14</f>
        <v>185.67170931252932</v>
      </c>
      <c r="F9" s="481">
        <f>transport!F14</f>
        <v>0</v>
      </c>
      <c r="G9" s="481">
        <f>transport!G14</f>
        <v>64792.511052262678</v>
      </c>
      <c r="H9" s="481">
        <f>transport!H14</f>
        <v>15956.25191557705</v>
      </c>
      <c r="I9" s="481">
        <f>transport!I14</f>
        <v>0</v>
      </c>
      <c r="J9" s="481">
        <f>transport!J14</f>
        <v>0</v>
      </c>
      <c r="K9" s="481">
        <f>transport!K14</f>
        <v>0</v>
      </c>
      <c r="L9" s="481">
        <f>transport!L14</f>
        <v>0</v>
      </c>
      <c r="M9" s="481">
        <f>transport!M14</f>
        <v>4256.2248426426377</v>
      </c>
      <c r="N9" s="481">
        <f>transport!N14</f>
        <v>0</v>
      </c>
      <c r="O9" s="481">
        <f>transport!O14</f>
        <v>0</v>
      </c>
      <c r="P9" s="481">
        <f>transport!P14</f>
        <v>0</v>
      </c>
      <c r="Q9" s="480">
        <f>SUM(B9:P9)</f>
        <v>85367.38942231414</v>
      </c>
    </row>
    <row r="10" spans="1:17">
      <c r="A10" s="476" t="s">
        <v>551</v>
      </c>
      <c r="B10" s="477">
        <f>transport!B54</f>
        <v>0</v>
      </c>
      <c r="C10" s="477">
        <f>transport!C54</f>
        <v>0</v>
      </c>
      <c r="D10" s="477">
        <f>transport!D54</f>
        <v>0</v>
      </c>
      <c r="E10" s="477">
        <f>transport!E54</f>
        <v>0</v>
      </c>
      <c r="F10" s="477">
        <f>transport!F54</f>
        <v>0</v>
      </c>
      <c r="G10" s="477">
        <f>transport!G54</f>
        <v>1104.8402406305597</v>
      </c>
      <c r="H10" s="477">
        <f>transport!H54</f>
        <v>0</v>
      </c>
      <c r="I10" s="477">
        <f>transport!I54</f>
        <v>0</v>
      </c>
      <c r="J10" s="477">
        <f>transport!J54</f>
        <v>0</v>
      </c>
      <c r="K10" s="477">
        <f>transport!K54</f>
        <v>0</v>
      </c>
      <c r="L10" s="477">
        <f>transport!L54</f>
        <v>0</v>
      </c>
      <c r="M10" s="477">
        <f>transport!M54</f>
        <v>62.750048266180798</v>
      </c>
      <c r="N10" s="477">
        <f>transport!N54</f>
        <v>0</v>
      </c>
      <c r="O10" s="477">
        <f>transport!O54</f>
        <v>0</v>
      </c>
      <c r="P10" s="478">
        <f>transport!P54</f>
        <v>0</v>
      </c>
      <c r="Q10" s="476">
        <f t="shared" si="0"/>
        <v>1167.5902888967405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1104.2539923252998</v>
      </c>
      <c r="C14" s="484"/>
      <c r="D14" s="484">
        <f>'SEAP template'!E25</f>
        <v>2104.8579906562099</v>
      </c>
      <c r="E14" s="484"/>
      <c r="F14" s="484"/>
      <c r="G14" s="484"/>
      <c r="H14" s="484"/>
      <c r="I14" s="484"/>
      <c r="J14" s="484"/>
      <c r="K14" s="484"/>
      <c r="L14" s="484"/>
      <c r="M14" s="484"/>
      <c r="N14" s="484"/>
      <c r="O14" s="484"/>
      <c r="P14" s="485"/>
      <c r="Q14" s="476">
        <f t="shared" si="0"/>
        <v>3209.1119829815098</v>
      </c>
    </row>
    <row r="15" spans="1:17" s="486" customFormat="1">
      <c r="A15" s="1039" t="s">
        <v>555</v>
      </c>
      <c r="B15" s="987">
        <f ca="1">SUM(B4:B14)</f>
        <v>92273.442612524203</v>
      </c>
      <c r="C15" s="987">
        <f t="shared" ref="C15:Q15" ca="1" si="1">SUM(C4:C14)</f>
        <v>3857.1428571428573</v>
      </c>
      <c r="D15" s="987">
        <f t="shared" ca="1" si="1"/>
        <v>248444.61826846335</v>
      </c>
      <c r="E15" s="987">
        <f t="shared" si="1"/>
        <v>6255.7946249551705</v>
      </c>
      <c r="F15" s="987">
        <f t="shared" ca="1" si="1"/>
        <v>66448.219935602203</v>
      </c>
      <c r="G15" s="987">
        <f t="shared" si="1"/>
        <v>65897.351292893232</v>
      </c>
      <c r="H15" s="987">
        <f t="shared" si="1"/>
        <v>15956.25191557705</v>
      </c>
      <c r="I15" s="987">
        <f t="shared" si="1"/>
        <v>0</v>
      </c>
      <c r="J15" s="987">
        <f t="shared" si="1"/>
        <v>1276.987755926875</v>
      </c>
      <c r="K15" s="987">
        <f t="shared" si="1"/>
        <v>0</v>
      </c>
      <c r="L15" s="987">
        <f t="shared" ca="1" si="1"/>
        <v>0</v>
      </c>
      <c r="M15" s="987">
        <f t="shared" si="1"/>
        <v>4318.9748909088185</v>
      </c>
      <c r="N15" s="987">
        <f t="shared" ca="1" si="1"/>
        <v>25744.970408555419</v>
      </c>
      <c r="O15" s="987">
        <f t="shared" si="1"/>
        <v>498.70333333333332</v>
      </c>
      <c r="P15" s="987">
        <f t="shared" si="1"/>
        <v>1487.2</v>
      </c>
      <c r="Q15" s="987">
        <f t="shared" ca="1" si="1"/>
        <v>532459.6578958825</v>
      </c>
    </row>
    <row r="17" spans="1:17">
      <c r="A17" s="487" t="s">
        <v>556</v>
      </c>
      <c r="B17" s="786">
        <f ca="1">huishoudens!B10</f>
        <v>0.18540379267705626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8002.1179008035569</v>
      </c>
      <c r="C22" s="477">
        <f t="shared" ref="C22:C32" ca="1" si="3">C4*$C$17</f>
        <v>0</v>
      </c>
      <c r="D22" s="477">
        <f t="shared" ref="D22:D32" si="4">D4*$D$17</f>
        <v>15400.962082217862</v>
      </c>
      <c r="E22" s="477">
        <f t="shared" ref="E22:E32" si="5">E4*$E$17</f>
        <v>995.95638786735037</v>
      </c>
      <c r="F22" s="477">
        <f t="shared" ref="F22:F32" si="6">F4*$F$17</f>
        <v>12743.281282352849</v>
      </c>
      <c r="G22" s="477">
        <f t="shared" ref="G22:G32" si="7">G4*$G$17</f>
        <v>0</v>
      </c>
      <c r="H22" s="477">
        <f t="shared" ref="H22:H32" si="8">H4*$H$17</f>
        <v>0</v>
      </c>
      <c r="I22" s="477">
        <f t="shared" ref="I22:I32" si="9">I4*$I$17</f>
        <v>0</v>
      </c>
      <c r="J22" s="477">
        <f t="shared" ref="J22:J32" si="10">J4*$J$17</f>
        <v>304.56460021484344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37446.882253456461</v>
      </c>
    </row>
    <row r="23" spans="1:17">
      <c r="A23" s="476" t="s">
        <v>156</v>
      </c>
      <c r="B23" s="477">
        <f t="shared" ca="1" si="2"/>
        <v>4646.7591348455271</v>
      </c>
      <c r="C23" s="477">
        <f t="shared" ca="1" si="3"/>
        <v>0</v>
      </c>
      <c r="D23" s="477">
        <f t="shared" ca="1" si="4"/>
        <v>4759.1868769408829</v>
      </c>
      <c r="E23" s="477">
        <f t="shared" si="5"/>
        <v>65.351675407521157</v>
      </c>
      <c r="F23" s="477">
        <f t="shared" ca="1" si="6"/>
        <v>1021.0309634243021</v>
      </c>
      <c r="G23" s="477">
        <f t="shared" si="7"/>
        <v>0</v>
      </c>
      <c r="H23" s="477">
        <f t="shared" si="8"/>
        <v>0</v>
      </c>
      <c r="I23" s="477">
        <f t="shared" si="9"/>
        <v>0</v>
      </c>
      <c r="J23" s="477">
        <f t="shared" si="10"/>
        <v>1.4193954393424243E-2</v>
      </c>
      <c r="K23" s="477">
        <f t="shared" si="11"/>
        <v>0</v>
      </c>
      <c r="L23" s="477">
        <f t="shared" ca="1" si="12"/>
        <v>0</v>
      </c>
      <c r="M23" s="477">
        <f t="shared" si="13"/>
        <v>0</v>
      </c>
      <c r="N23" s="477">
        <f t="shared" ca="1" si="14"/>
        <v>0</v>
      </c>
      <c r="O23" s="477">
        <f t="shared" si="15"/>
        <v>0</v>
      </c>
      <c r="P23" s="478">
        <f t="shared" si="16"/>
        <v>0</v>
      </c>
      <c r="Q23" s="476">
        <f t="shared" ref="Q23:Q32" ca="1" si="17">SUM(B23:P23)</f>
        <v>10492.342844572628</v>
      </c>
    </row>
    <row r="24" spans="1:17">
      <c r="A24" s="476" t="s">
        <v>194</v>
      </c>
      <c r="B24" s="477">
        <f t="shared" ca="1" si="2"/>
        <v>356.05741582010393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356.05741582010393</v>
      </c>
    </row>
    <row r="25" spans="1:17">
      <c r="A25" s="476" t="s">
        <v>112</v>
      </c>
      <c r="B25" s="477">
        <f t="shared" ca="1" si="2"/>
        <v>465.91120323762345</v>
      </c>
      <c r="C25" s="477">
        <f t="shared" ca="1" si="3"/>
        <v>0</v>
      </c>
      <c r="D25" s="477">
        <f t="shared" si="4"/>
        <v>89.721619980246516</v>
      </c>
      <c r="E25" s="477">
        <f t="shared" si="5"/>
        <v>16.766990355503104</v>
      </c>
      <c r="F25" s="477">
        <f t="shared" si="6"/>
        <v>2795.1777673692686</v>
      </c>
      <c r="G25" s="477">
        <f t="shared" si="7"/>
        <v>0</v>
      </c>
      <c r="H25" s="477">
        <f t="shared" si="8"/>
        <v>0</v>
      </c>
      <c r="I25" s="477">
        <f t="shared" si="9"/>
        <v>0</v>
      </c>
      <c r="J25" s="477">
        <f t="shared" si="10"/>
        <v>128.88186640181627</v>
      </c>
      <c r="K25" s="477">
        <f t="shared" si="11"/>
        <v>0</v>
      </c>
      <c r="L25" s="477">
        <f t="shared" si="12"/>
        <v>0</v>
      </c>
      <c r="M25" s="477">
        <f t="shared" si="13"/>
        <v>0</v>
      </c>
      <c r="N25" s="477">
        <f t="shared" si="14"/>
        <v>0</v>
      </c>
      <c r="O25" s="477">
        <f t="shared" si="15"/>
        <v>0</v>
      </c>
      <c r="P25" s="478">
        <f t="shared" si="16"/>
        <v>0</v>
      </c>
      <c r="Q25" s="476">
        <f t="shared" ca="1" si="17"/>
        <v>3496.4594473444581</v>
      </c>
    </row>
    <row r="26" spans="1:17">
      <c r="A26" s="476" t="s">
        <v>635</v>
      </c>
      <c r="B26" s="477">
        <f t="shared" ca="1" si="2"/>
        <v>3425.9983387778816</v>
      </c>
      <c r="C26" s="477">
        <f t="shared" ca="1" si="3"/>
        <v>0</v>
      </c>
      <c r="D26" s="477">
        <f t="shared" si="4"/>
        <v>29481.892102494108</v>
      </c>
      <c r="E26" s="477">
        <f t="shared" si="5"/>
        <v>299.84284822050523</v>
      </c>
      <c r="F26" s="477">
        <f t="shared" si="6"/>
        <v>1182.1847096593697</v>
      </c>
      <c r="G26" s="477">
        <f t="shared" si="7"/>
        <v>0</v>
      </c>
      <c r="H26" s="477">
        <f t="shared" si="8"/>
        <v>0</v>
      </c>
      <c r="I26" s="477">
        <f t="shared" si="9"/>
        <v>0</v>
      </c>
      <c r="J26" s="477">
        <f t="shared" si="10"/>
        <v>18.593005027060624</v>
      </c>
      <c r="K26" s="477">
        <f t="shared" si="11"/>
        <v>0</v>
      </c>
      <c r="L26" s="477">
        <f t="shared" si="12"/>
        <v>0</v>
      </c>
      <c r="M26" s="477">
        <f t="shared" si="13"/>
        <v>0</v>
      </c>
      <c r="N26" s="477">
        <f t="shared" si="14"/>
        <v>0</v>
      </c>
      <c r="O26" s="477">
        <f t="shared" si="15"/>
        <v>0</v>
      </c>
      <c r="P26" s="478">
        <f t="shared" si="16"/>
        <v>0</v>
      </c>
      <c r="Q26" s="476">
        <f t="shared" ca="1" si="17"/>
        <v>34408.51100417893</v>
      </c>
    </row>
    <row r="27" spans="1:17" s="482" customFormat="1">
      <c r="A27" s="480" t="s">
        <v>561</v>
      </c>
      <c r="B27" s="780">
        <f t="shared" ca="1" si="2"/>
        <v>6.2693519900975918</v>
      </c>
      <c r="C27" s="481">
        <f t="shared" ca="1" si="3"/>
        <v>0</v>
      </c>
      <c r="D27" s="481">
        <f t="shared" si="4"/>
        <v>28.868894483940196</v>
      </c>
      <c r="E27" s="481">
        <f t="shared" si="5"/>
        <v>42.147478013944159</v>
      </c>
      <c r="F27" s="481">
        <f t="shared" si="6"/>
        <v>0</v>
      </c>
      <c r="G27" s="481">
        <f t="shared" si="7"/>
        <v>17299.600450954134</v>
      </c>
      <c r="H27" s="481">
        <f t="shared" si="8"/>
        <v>3973.1067269786854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21349.992902420803</v>
      </c>
    </row>
    <row r="28" spans="1:17">
      <c r="A28" s="476" t="s">
        <v>551</v>
      </c>
      <c r="B28" s="477">
        <f t="shared" ca="1" si="2"/>
        <v>0</v>
      </c>
      <c r="C28" s="477">
        <f t="shared" ca="1" si="3"/>
        <v>0</v>
      </c>
      <c r="D28" s="477">
        <f t="shared" si="4"/>
        <v>0</v>
      </c>
      <c r="E28" s="477">
        <f t="shared" si="5"/>
        <v>0</v>
      </c>
      <c r="F28" s="477">
        <f t="shared" si="6"/>
        <v>0</v>
      </c>
      <c r="G28" s="477">
        <f t="shared" si="7"/>
        <v>294.99234424835947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294.99234424835947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204.73287825589156</v>
      </c>
      <c r="C32" s="477">
        <f t="shared" ca="1" si="3"/>
        <v>0</v>
      </c>
      <c r="D32" s="477">
        <f t="shared" si="4"/>
        <v>425.18131411255445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629.91419236844604</v>
      </c>
    </row>
    <row r="33" spans="1:17" s="486" customFormat="1">
      <c r="A33" s="1039" t="s">
        <v>555</v>
      </c>
      <c r="B33" s="987">
        <f ca="1">SUM(B22:B32)</f>
        <v>17107.846223730681</v>
      </c>
      <c r="C33" s="987">
        <f t="shared" ref="C33:Q33" ca="1" si="18">SUM(C22:C32)</f>
        <v>0</v>
      </c>
      <c r="D33" s="987">
        <f t="shared" ca="1" si="18"/>
        <v>50185.812890229594</v>
      </c>
      <c r="E33" s="987">
        <f t="shared" si="18"/>
        <v>1420.0653798648241</v>
      </c>
      <c r="F33" s="987">
        <f t="shared" ca="1" si="18"/>
        <v>17741.67472280579</v>
      </c>
      <c r="G33" s="987">
        <f t="shared" si="18"/>
        <v>17594.592795202494</v>
      </c>
      <c r="H33" s="987">
        <f t="shared" si="18"/>
        <v>3973.1067269786854</v>
      </c>
      <c r="I33" s="987">
        <f t="shared" si="18"/>
        <v>0</v>
      </c>
      <c r="J33" s="987">
        <f t="shared" si="18"/>
        <v>452.05366559811375</v>
      </c>
      <c r="K33" s="987">
        <f t="shared" si="18"/>
        <v>0</v>
      </c>
      <c r="L33" s="987">
        <f t="shared" ca="1" si="18"/>
        <v>0</v>
      </c>
      <c r="M33" s="987">
        <f t="shared" si="18"/>
        <v>0</v>
      </c>
      <c r="N33" s="987">
        <f t="shared" ca="1" si="18"/>
        <v>0</v>
      </c>
      <c r="O33" s="987">
        <f t="shared" si="18"/>
        <v>0</v>
      </c>
      <c r="P33" s="987">
        <f t="shared" si="18"/>
        <v>0</v>
      </c>
      <c r="Q33" s="987">
        <f t="shared" ca="1" si="18"/>
        <v>108475.1524044102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3531.0186567719961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8631.3550700929991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2700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3176.4705882352946</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14862.373726864995</v>
      </c>
      <c r="C10" s="1060">
        <f>SUM(C4:C9)</f>
        <v>0</v>
      </c>
      <c r="D10" s="1060">
        <f t="shared" ref="D10:H10" si="0">SUM(D8:D9)</f>
        <v>0</v>
      </c>
      <c r="E10" s="1060">
        <f t="shared" si="0"/>
        <v>0</v>
      </c>
      <c r="F10" s="1060">
        <f t="shared" si="0"/>
        <v>0</v>
      </c>
      <c r="G10" s="1060">
        <f t="shared" si="0"/>
        <v>0</v>
      </c>
      <c r="H10" s="1060">
        <f t="shared" si="0"/>
        <v>0</v>
      </c>
      <c r="I10" s="1060">
        <f>SUM(I8:I9)</f>
        <v>0</v>
      </c>
      <c r="J10" s="1060">
        <f>SUM(J8:J9)</f>
        <v>3176.4705882352946</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0.18540379267705626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3857.1428571428573</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4537.815126050421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3857.1428571428573</v>
      </c>
      <c r="C20" s="1060">
        <f>SUM(C17:C19)</f>
        <v>0</v>
      </c>
      <c r="D20" s="1060">
        <f t="shared" ref="D20:H20" si="2">SUM(D17:D19)</f>
        <v>0</v>
      </c>
      <c r="E20" s="1060">
        <f t="shared" si="2"/>
        <v>0</v>
      </c>
      <c r="F20" s="1060">
        <f t="shared" si="2"/>
        <v>0</v>
      </c>
      <c r="G20" s="1060">
        <f t="shared" si="2"/>
        <v>0</v>
      </c>
      <c r="H20" s="1060">
        <f t="shared" si="2"/>
        <v>0</v>
      </c>
      <c r="I20" s="1060">
        <f>SUM(I17:I19)</f>
        <v>0</v>
      </c>
      <c r="J20" s="1060">
        <f>SUM(J17:J19)</f>
        <v>4537.815126050421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0.18540379267705626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0.18540379267705626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0.18540379267705626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10097</v>
      </c>
      <c r="C9" s="342">
        <v>10379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4264.45</v>
      </c>
    </row>
    <row r="15" spans="1:6">
      <c r="A15" s="348" t="s">
        <v>184</v>
      </c>
      <c r="B15" s="334">
        <v>23</v>
      </c>
    </row>
    <row r="16" spans="1:6">
      <c r="A16" s="348" t="s">
        <v>6</v>
      </c>
      <c r="B16" s="334">
        <v>886</v>
      </c>
    </row>
    <row r="17" spans="1:6">
      <c r="A17" s="348" t="s">
        <v>7</v>
      </c>
      <c r="B17" s="334">
        <v>831</v>
      </c>
    </row>
    <row r="18" spans="1:6">
      <c r="A18" s="348" t="s">
        <v>8</v>
      </c>
      <c r="B18" s="334">
        <v>1113</v>
      </c>
    </row>
    <row r="19" spans="1:6">
      <c r="A19" s="348" t="s">
        <v>9</v>
      </c>
      <c r="B19" s="334">
        <v>988</v>
      </c>
    </row>
    <row r="20" spans="1:6">
      <c r="A20" s="348" t="s">
        <v>10</v>
      </c>
      <c r="B20" s="334">
        <v>1000</v>
      </c>
    </row>
    <row r="21" spans="1:6">
      <c r="A21" s="348" t="s">
        <v>11</v>
      </c>
      <c r="B21" s="334">
        <v>2487</v>
      </c>
    </row>
    <row r="22" spans="1:6">
      <c r="A22" s="348" t="s">
        <v>12</v>
      </c>
      <c r="B22" s="334">
        <v>17628</v>
      </c>
    </row>
    <row r="23" spans="1:6">
      <c r="A23" s="348" t="s">
        <v>13</v>
      </c>
      <c r="B23" s="334">
        <v>114</v>
      </c>
    </row>
    <row r="24" spans="1:6">
      <c r="A24" s="348" t="s">
        <v>14</v>
      </c>
      <c r="B24" s="334">
        <v>16</v>
      </c>
    </row>
    <row r="25" spans="1:6">
      <c r="A25" s="348" t="s">
        <v>15</v>
      </c>
      <c r="B25" s="334">
        <v>856</v>
      </c>
    </row>
    <row r="26" spans="1:6">
      <c r="A26" s="348" t="s">
        <v>16</v>
      </c>
      <c r="B26" s="334">
        <v>218</v>
      </c>
    </row>
    <row r="27" spans="1:6">
      <c r="A27" s="348" t="s">
        <v>17</v>
      </c>
      <c r="B27" s="334">
        <v>8</v>
      </c>
    </row>
    <row r="28" spans="1:6" s="356" customFormat="1">
      <c r="A28" s="355" t="s">
        <v>18</v>
      </c>
      <c r="B28" s="355">
        <v>439559</v>
      </c>
    </row>
    <row r="29" spans="1:6">
      <c r="A29" s="355" t="s">
        <v>744</v>
      </c>
      <c r="B29" s="355">
        <v>119</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2708.6887770677999</v>
      </c>
    </row>
    <row r="39" spans="1:6">
      <c r="A39" s="348" t="s">
        <v>30</v>
      </c>
      <c r="B39" s="348" t="s">
        <v>31</v>
      </c>
      <c r="C39" s="334">
        <v>5660</v>
      </c>
      <c r="D39" s="334">
        <v>84525927.434182897</v>
      </c>
      <c r="E39" s="334">
        <v>9595</v>
      </c>
      <c r="F39" s="334">
        <v>37773004.288634002</v>
      </c>
    </row>
    <row r="40" spans="1:6">
      <c r="A40" s="348" t="s">
        <v>30</v>
      </c>
      <c r="B40" s="348" t="s">
        <v>29</v>
      </c>
      <c r="C40" s="334">
        <v>0</v>
      </c>
      <c r="D40" s="334">
        <v>0</v>
      </c>
      <c r="E40" s="334">
        <v>0</v>
      </c>
      <c r="F40" s="334">
        <v>0</v>
      </c>
    </row>
    <row r="41" spans="1:6">
      <c r="A41" s="348" t="s">
        <v>32</v>
      </c>
      <c r="B41" s="348" t="s">
        <v>33</v>
      </c>
      <c r="C41" s="334">
        <v>78</v>
      </c>
      <c r="D41" s="334">
        <v>1377043.01421205</v>
      </c>
      <c r="E41" s="334">
        <v>230</v>
      </c>
      <c r="F41" s="334">
        <v>1704010.4426881501</v>
      </c>
    </row>
    <row r="42" spans="1:6">
      <c r="A42" s="348" t="s">
        <v>32</v>
      </c>
      <c r="B42" s="348" t="s">
        <v>34</v>
      </c>
      <c r="C42" s="334">
        <v>0</v>
      </c>
      <c r="D42" s="334">
        <v>0</v>
      </c>
      <c r="E42" s="334">
        <v>0</v>
      </c>
      <c r="F42" s="334">
        <v>0</v>
      </c>
    </row>
    <row r="43" spans="1:6">
      <c r="A43" s="348" t="s">
        <v>32</v>
      </c>
      <c r="B43" s="348" t="s">
        <v>35</v>
      </c>
      <c r="C43" s="334">
        <v>5</v>
      </c>
      <c r="D43" s="334">
        <v>149621373.60385901</v>
      </c>
      <c r="E43" s="334">
        <v>15</v>
      </c>
      <c r="F43" s="334">
        <v>231683.600454606</v>
      </c>
    </row>
    <row r="44" spans="1:6">
      <c r="A44" s="348" t="s">
        <v>32</v>
      </c>
      <c r="B44" s="348" t="s">
        <v>36</v>
      </c>
      <c r="C44" s="334">
        <v>0</v>
      </c>
      <c r="D44" s="334">
        <v>0</v>
      </c>
      <c r="E44" s="334">
        <v>14</v>
      </c>
      <c r="F44" s="334">
        <v>1291724.2065695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142688.203498071</v>
      </c>
      <c r="E47" s="334">
        <v>3</v>
      </c>
      <c r="F47" s="334">
        <v>143547.252035454</v>
      </c>
    </row>
    <row r="48" spans="1:6">
      <c r="A48" s="348" t="s">
        <v>32</v>
      </c>
      <c r="B48" s="348" t="s">
        <v>29</v>
      </c>
      <c r="C48" s="334">
        <v>63</v>
      </c>
      <c r="D48" s="334">
        <v>10128028.7406452</v>
      </c>
      <c r="E48" s="334">
        <v>118</v>
      </c>
      <c r="F48" s="334">
        <v>14664997.487345001</v>
      </c>
    </row>
    <row r="49" spans="1:6">
      <c r="A49" s="348" t="s">
        <v>32</v>
      </c>
      <c r="B49" s="348" t="s">
        <v>40</v>
      </c>
      <c r="C49" s="334">
        <v>3</v>
      </c>
      <c r="D49" s="334">
        <v>63783.863047410297</v>
      </c>
      <c r="E49" s="334">
        <v>3</v>
      </c>
      <c r="F49" s="334">
        <v>23834.409727955001</v>
      </c>
    </row>
    <row r="50" spans="1:6">
      <c r="A50" s="348" t="s">
        <v>32</v>
      </c>
      <c r="B50" s="348" t="s">
        <v>41</v>
      </c>
      <c r="C50" s="334">
        <v>4</v>
      </c>
      <c r="D50" s="334">
        <v>474134.57411317201</v>
      </c>
      <c r="E50" s="334">
        <v>12</v>
      </c>
      <c r="F50" s="334">
        <v>418780.03106730903</v>
      </c>
    </row>
    <row r="51" spans="1:6">
      <c r="A51" s="348" t="s">
        <v>42</v>
      </c>
      <c r="B51" s="348" t="s">
        <v>43</v>
      </c>
      <c r="C51" s="334">
        <v>0</v>
      </c>
      <c r="D51" s="334">
        <v>0</v>
      </c>
      <c r="E51" s="334">
        <v>125</v>
      </c>
      <c r="F51" s="334">
        <v>2053176.10219954</v>
      </c>
    </row>
    <row r="52" spans="1:6">
      <c r="A52" s="348" t="s">
        <v>42</v>
      </c>
      <c r="B52" s="348" t="s">
        <v>29</v>
      </c>
      <c r="C52" s="334">
        <v>7</v>
      </c>
      <c r="D52" s="334">
        <v>492423.98619265499</v>
      </c>
      <c r="E52" s="334">
        <v>25</v>
      </c>
      <c r="F52" s="334">
        <v>459777.90219435201</v>
      </c>
    </row>
    <row r="53" spans="1:6">
      <c r="A53" s="348" t="s">
        <v>44</v>
      </c>
      <c r="B53" s="348" t="s">
        <v>45</v>
      </c>
      <c r="C53" s="334">
        <v>112</v>
      </c>
      <c r="D53" s="334">
        <v>2104857.9906562101</v>
      </c>
      <c r="E53" s="334">
        <v>268</v>
      </c>
      <c r="F53" s="334">
        <v>1104253.9923252999</v>
      </c>
    </row>
    <row r="54" spans="1:6">
      <c r="A54" s="348" t="s">
        <v>46</v>
      </c>
      <c r="B54" s="348" t="s">
        <v>47</v>
      </c>
      <c r="C54" s="334">
        <v>0</v>
      </c>
      <c r="D54" s="334">
        <v>0</v>
      </c>
      <c r="E54" s="334">
        <v>1</v>
      </c>
      <c r="F54" s="334">
        <v>1920443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7418572.4958690498</v>
      </c>
      <c r="E57" s="334">
        <v>71</v>
      </c>
      <c r="F57" s="334">
        <v>893255.70491216006</v>
      </c>
    </row>
    <row r="58" spans="1:6">
      <c r="A58" s="348" t="s">
        <v>49</v>
      </c>
      <c r="B58" s="348" t="s">
        <v>51</v>
      </c>
      <c r="C58" s="334">
        <v>14</v>
      </c>
      <c r="D58" s="334">
        <v>485740.72729507199</v>
      </c>
      <c r="E58" s="334">
        <v>37</v>
      </c>
      <c r="F58" s="334">
        <v>337263.115892448</v>
      </c>
    </row>
    <row r="59" spans="1:6">
      <c r="A59" s="348" t="s">
        <v>49</v>
      </c>
      <c r="B59" s="348" t="s">
        <v>52</v>
      </c>
      <c r="C59" s="334">
        <v>82</v>
      </c>
      <c r="D59" s="334">
        <v>2491214.2218724098</v>
      </c>
      <c r="E59" s="334">
        <v>208</v>
      </c>
      <c r="F59" s="334">
        <v>4513316.0545371901</v>
      </c>
    </row>
    <row r="60" spans="1:6">
      <c r="A60" s="348" t="s">
        <v>49</v>
      </c>
      <c r="B60" s="348" t="s">
        <v>53</v>
      </c>
      <c r="C60" s="334">
        <v>38</v>
      </c>
      <c r="D60" s="334">
        <v>1095521.0290040099</v>
      </c>
      <c r="E60" s="334">
        <v>72</v>
      </c>
      <c r="F60" s="334">
        <v>1015239.3724725801</v>
      </c>
    </row>
    <row r="61" spans="1:6">
      <c r="A61" s="348" t="s">
        <v>49</v>
      </c>
      <c r="B61" s="348" t="s">
        <v>54</v>
      </c>
      <c r="C61" s="334">
        <v>117</v>
      </c>
      <c r="D61" s="334">
        <v>5905676.5743747801</v>
      </c>
      <c r="E61" s="334">
        <v>447</v>
      </c>
      <c r="F61" s="334">
        <v>6897584.5521294996</v>
      </c>
    </row>
    <row r="62" spans="1:6">
      <c r="A62" s="348" t="s">
        <v>49</v>
      </c>
      <c r="B62" s="348" t="s">
        <v>55</v>
      </c>
      <c r="C62" s="334">
        <v>6</v>
      </c>
      <c r="D62" s="334">
        <v>1635664.1365133999</v>
      </c>
      <c r="E62" s="334">
        <v>4</v>
      </c>
      <c r="F62" s="334">
        <v>155099.726676583</v>
      </c>
    </row>
    <row r="63" spans="1:6">
      <c r="A63" s="348" t="s">
        <v>49</v>
      </c>
      <c r="B63" s="348" t="s">
        <v>29</v>
      </c>
      <c r="C63" s="334">
        <v>192</v>
      </c>
      <c r="D63" s="334">
        <v>7087711.7839900898</v>
      </c>
      <c r="E63" s="334">
        <v>317</v>
      </c>
      <c r="F63" s="334">
        <v>8551154.5225178506</v>
      </c>
    </row>
    <row r="64" spans="1:6">
      <c r="A64" s="348" t="s">
        <v>56</v>
      </c>
      <c r="B64" s="348" t="s">
        <v>57</v>
      </c>
      <c r="C64" s="334">
        <v>0</v>
      </c>
      <c r="D64" s="334">
        <v>0</v>
      </c>
      <c r="E64" s="334">
        <v>0</v>
      </c>
      <c r="F64" s="334">
        <v>0</v>
      </c>
    </row>
    <row r="65" spans="1:6">
      <c r="A65" s="348" t="s">
        <v>56</v>
      </c>
      <c r="B65" s="348" t="s">
        <v>29</v>
      </c>
      <c r="C65" s="334">
        <v>0</v>
      </c>
      <c r="D65" s="334">
        <v>0</v>
      </c>
      <c r="E65" s="334">
        <v>6</v>
      </c>
      <c r="F65" s="334">
        <v>40270.067485068801</v>
      </c>
    </row>
    <row r="66" spans="1:6">
      <c r="A66" s="348" t="s">
        <v>56</v>
      </c>
      <c r="B66" s="348" t="s">
        <v>58</v>
      </c>
      <c r="C66" s="334">
        <v>0</v>
      </c>
      <c r="D66" s="334">
        <v>0</v>
      </c>
      <c r="E66" s="334">
        <v>5</v>
      </c>
      <c r="F66" s="334">
        <v>98831.896792885105</v>
      </c>
    </row>
    <row r="67" spans="1:6">
      <c r="A67" s="355" t="s">
        <v>56</v>
      </c>
      <c r="B67" s="355" t="s">
        <v>59</v>
      </c>
      <c r="C67" s="334">
        <v>0</v>
      </c>
      <c r="D67" s="334">
        <v>0</v>
      </c>
      <c r="E67" s="334">
        <v>0</v>
      </c>
      <c r="F67" s="334">
        <v>0</v>
      </c>
    </row>
    <row r="68" spans="1:6">
      <c r="A68" s="341" t="s">
        <v>56</v>
      </c>
      <c r="B68" s="341" t="s">
        <v>60</v>
      </c>
      <c r="C68" s="334">
        <v>4</v>
      </c>
      <c r="D68" s="334">
        <v>53412.438709653899</v>
      </c>
      <c r="E68" s="334">
        <v>18</v>
      </c>
      <c r="F68" s="334">
        <v>359547.06921544299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40758857</v>
      </c>
      <c r="E73" s="475">
        <v>36250710.391707979</v>
      </c>
    </row>
    <row r="74" spans="1:6">
      <c r="A74" s="348" t="s">
        <v>64</v>
      </c>
      <c r="B74" s="348" t="s">
        <v>657</v>
      </c>
      <c r="C74" s="1295" t="s">
        <v>659</v>
      </c>
      <c r="D74" s="475">
        <v>4108843</v>
      </c>
      <c r="E74" s="475">
        <v>3874785.6178553286</v>
      </c>
    </row>
    <row r="75" spans="1:6">
      <c r="A75" s="348" t="s">
        <v>65</v>
      </c>
      <c r="B75" s="348" t="s">
        <v>656</v>
      </c>
      <c r="C75" s="1295" t="s">
        <v>660</v>
      </c>
      <c r="D75" s="475">
        <v>45195130</v>
      </c>
      <c r="E75" s="475">
        <v>38521267.721720025</v>
      </c>
    </row>
    <row r="76" spans="1:6">
      <c r="A76" s="348" t="s">
        <v>65</v>
      </c>
      <c r="B76" s="348" t="s">
        <v>657</v>
      </c>
      <c r="C76" s="1295" t="s">
        <v>661</v>
      </c>
      <c r="D76" s="475">
        <v>2449853</v>
      </c>
      <c r="E76" s="475">
        <v>2051208.6929909599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316670</v>
      </c>
      <c r="C83" s="475">
        <v>316405.26721915358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3531.0186567719961</v>
      </c>
    </row>
    <row r="91" spans="1:6">
      <c r="A91" s="348" t="s">
        <v>68</v>
      </c>
      <c r="B91" s="334">
        <v>5387.4822648528843</v>
      </c>
    </row>
    <row r="92" spans="1:6">
      <c r="A92" s="341" t="s">
        <v>69</v>
      </c>
      <c r="B92" s="342">
        <v>3243.8728052401157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40</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270</v>
      </c>
    </row>
    <row r="130" spans="1:6">
      <c r="A130" s="348" t="s">
        <v>295</v>
      </c>
      <c r="B130" s="334">
        <v>5</v>
      </c>
    </row>
    <row r="131" spans="1:6">
      <c r="A131" s="348" t="s">
        <v>296</v>
      </c>
      <c r="B131" s="334">
        <v>2</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92273.442612524203</v>
      </c>
      <c r="C3" s="43" t="s">
        <v>170</v>
      </c>
      <c r="D3" s="43"/>
      <c r="E3" s="154"/>
      <c r="F3" s="43"/>
      <c r="G3" s="43"/>
      <c r="H3" s="43"/>
      <c r="I3" s="43"/>
      <c r="J3" s="43"/>
      <c r="K3" s="96"/>
    </row>
    <row r="4" spans="1:11">
      <c r="A4" s="383" t="s">
        <v>171</v>
      </c>
      <c r="B4" s="49">
        <f>IF(ISERROR('SEAP template'!B78+'SEAP template'!C78),0,'SEAP template'!B78+'SEAP template'!C78)</f>
        <v>14862.373726864995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0.18540379267705626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3857.1428571428573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1920.443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0.18540379267705626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356.05741582010393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B46*B57</f>
        <v>4387.4730743055079</v>
      </c>
      <c r="F5" s="17">
        <f>B51*B62</f>
        <v>47727.645252257862</v>
      </c>
      <c r="G5" s="18"/>
      <c r="H5" s="17"/>
      <c r="I5" s="17"/>
      <c r="J5" s="17">
        <f>B50*B61+C50*C61</f>
        <v>860.35197800803235</v>
      </c>
      <c r="K5" s="17"/>
      <c r="L5" s="17"/>
      <c r="M5" s="17"/>
      <c r="N5" s="17">
        <f>B48*B59+C48*C59</f>
        <v>21426.448843361446</v>
      </c>
      <c r="O5" s="17">
        <f>B69*B70*B71</f>
        <v>490.88666666666666</v>
      </c>
      <c r="P5" s="17">
        <f>B77*B78*B79/1000-B77*B78*B79/1000/B80</f>
        <v>1449.0666666666666</v>
      </c>
    </row>
    <row r="6" spans="1:16">
      <c r="A6" s="16" t="s">
        <v>621</v>
      </c>
      <c r="B6" s="788">
        <f>kWh_PV_kleiner_dan_10kW</f>
        <v>5387.4822648528843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43160.486553486888</v>
      </c>
      <c r="C8" s="21">
        <f>C5</f>
        <v>0</v>
      </c>
      <c r="D8" s="21">
        <f>D5</f>
        <v>76242.38654563298</v>
      </c>
      <c r="E8" s="21">
        <f>E5</f>
        <v>4387.4730743055079</v>
      </c>
      <c r="F8" s="21">
        <f>F5</f>
        <v>47727.645252257862</v>
      </c>
      <c r="G8" s="21"/>
      <c r="H8" s="21"/>
      <c r="I8" s="21"/>
      <c r="J8" s="21">
        <f>J5</f>
        <v>860.35197800803235</v>
      </c>
      <c r="K8" s="21"/>
      <c r="L8" s="21">
        <f>L5</f>
        <v>0</v>
      </c>
      <c r="M8" s="21">
        <f>M5</f>
        <v>0</v>
      </c>
      <c r="N8" s="21">
        <f>N5</f>
        <v>21426.448843361446</v>
      </c>
      <c r="O8" s="21">
        <f>O5</f>
        <v>490.88666666666666</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0.18540379267705626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8002.1179008035569</v>
      </c>
      <c r="C12" s="23">
        <f ca="1">C10*C8</f>
        <v>0</v>
      </c>
      <c r="D12" s="23">
        <f>D8*D10</f>
        <v>15400.962082217862</v>
      </c>
      <c r="E12" s="23">
        <f>E10*E8</f>
        <v>995.95638786735037</v>
      </c>
      <c r="F12" s="23">
        <f>F10*F8</f>
        <v>12743.281282352849</v>
      </c>
      <c r="G12" s="23"/>
      <c r="H12" s="23"/>
      <c r="I12" s="23"/>
      <c r="J12" s="23">
        <f>J10*J8</f>
        <v>304.56460021484344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793</v>
      </c>
      <c r="B28" s="37">
        <f>aantalHuishoudens2011</f>
        <v>10097</v>
      </c>
      <c r="C28" s="36"/>
      <c r="D28" s="228"/>
    </row>
    <row r="29" spans="1:7" s="15" customFormat="1">
      <c r="A29" s="230" t="s">
        <v>794</v>
      </c>
      <c r="B29" s="37">
        <f>SUM(HH_hh_gas_aantal,HH_rest_gas_aantal)</f>
        <v>5660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5660</v>
      </c>
      <c r="C32" s="167">
        <f>IF(ISERROR(B32/SUM($B$32,$B$34,$B$35,$B$36,$B$38,$B$39)*100),0,B32/SUM($B$32,$B$34,$B$35,$B$36,$B$38,$B$39)*100)</f>
        <v>56.481389082925858</v>
      </c>
      <c r="D32" s="233"/>
      <c r="G32" s="15"/>
    </row>
    <row r="33" spans="1:7">
      <c r="A33" s="171" t="s">
        <v>72</v>
      </c>
      <c r="B33" s="34" t="s">
        <v>111</v>
      </c>
      <c r="C33" s="167"/>
      <c r="D33" s="233"/>
      <c r="G33" s="15"/>
    </row>
    <row r="34" spans="1:7">
      <c r="A34" s="171" t="s">
        <v>73</v>
      </c>
      <c r="B34" s="33">
        <f>IF((($B$28-$B$32-$B$39-$B$77-$B$38)*C20/100)&lt;0,0,($B$28-$B$32-$B$39-$B$77-$B$38)*C20/100)</f>
        <v>207.21593830334189</v>
      </c>
      <c r="C34" s="167">
        <f>IF(ISERROR(B34/SUM($B$32,$B$34,$B$35,$B$36,$B$38,$B$39)*100),0,B34/SUM($B$32,$B$34,$B$35,$B$36,$B$38,$B$39)*100)</f>
        <v>2.0678169674018752</v>
      </c>
      <c r="D34" s="233"/>
      <c r="G34" s="15"/>
    </row>
    <row r="35" spans="1:7">
      <c r="A35" s="171" t="s">
        <v>74</v>
      </c>
      <c r="B35" s="33">
        <f>IF((($B$28-$B$32-$B$39-$B$77-$B$38)*C21/100)&lt;0,0,($B$28-$B$32-$B$39-$B$77-$B$38)*C21/100)</f>
        <v>1988.8457583547558</v>
      </c>
      <c r="C35" s="167">
        <f>IF(ISERROR(B35/SUM($B$32,$B$34,$B$35,$B$36,$B$38,$B$39)*100),0,B35/SUM($B$32,$B$34,$B$35,$B$36,$B$38,$B$39)*100)</f>
        <v>19.846779346919028</v>
      </c>
      <c r="D35" s="233"/>
      <c r="G35" s="15"/>
    </row>
    <row r="36" spans="1:7">
      <c r="A36" s="171" t="s">
        <v>75</v>
      </c>
      <c r="B36" s="33">
        <f>IF((($B$28-$B$32-$B$39-$B$77-$B$38)*C22/100)&lt;0,0,($B$28-$B$32-$B$39-$B$77-$B$38)*C22/100)</f>
        <v>296.93830334190233</v>
      </c>
      <c r="C36" s="167">
        <f>IF(ISERROR(B36/SUM($B$32,$B$34,$B$35,$B$36,$B$38,$B$39)*100),0,B36/SUM($B$32,$B$34,$B$35,$B$36,$B$38,$B$39)*100)</f>
        <v>2.9631603965861921</v>
      </c>
      <c r="D36" s="233"/>
      <c r="G36" s="15"/>
    </row>
    <row r="37" spans="1:7">
      <c r="A37" s="171" t="s">
        <v>76</v>
      </c>
      <c r="B37" s="34" t="s">
        <v>111</v>
      </c>
      <c r="C37" s="167"/>
      <c r="D37" s="173"/>
      <c r="G37" s="15"/>
    </row>
    <row r="38" spans="1:7">
      <c r="A38" s="171" t="s">
        <v>77</v>
      </c>
      <c r="B38" s="33">
        <f>IF((B24-(B29-B18)*0.1)&lt;0,0,B24-(B29-B18)*0.1)</f>
        <v>24.399999999999977</v>
      </c>
      <c r="C38" s="167">
        <f>IF(ISERROR(B38/SUM($B$32,$B$34,$B$35,$B$36,$B$38,$B$39)*100),0,B38/SUM($B$32,$B$34,$B$35,$B$36,$B$38,$B$39)*100)</f>
        <v>0.24348867378505118</v>
      </c>
      <c r="D38" s="234"/>
      <c r="G38" s="15"/>
    </row>
    <row r="39" spans="1:7">
      <c r="A39" s="171" t="s">
        <v>78</v>
      </c>
      <c r="B39" s="33">
        <f>IF((B25-(B29-B18))&lt;0,0,B25-(B29-B18)*0.9)</f>
        <v>1843.6</v>
      </c>
      <c r="C39" s="167">
        <f>IF(ISERROR(B39/SUM($B$32,$B$34,$B$35,$B$36,$B$38,$B$39)*100),0,B39/SUM($B$32,$B$34,$B$35,$B$36,$B$38,$B$39)*100)</f>
        <v>18.397365532381997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5660</v>
      </c>
      <c r="C44" s="34" t="s">
        <v>111</v>
      </c>
      <c r="D44" s="174"/>
    </row>
    <row r="45" spans="1:7">
      <c r="A45" s="171" t="s">
        <v>72</v>
      </c>
      <c r="B45" s="33" t="str">
        <f t="shared" si="0"/>
        <v>-</v>
      </c>
      <c r="C45" s="34" t="s">
        <v>111</v>
      </c>
      <c r="D45" s="174"/>
    </row>
    <row r="46" spans="1:7">
      <c r="A46" s="171" t="s">
        <v>73</v>
      </c>
      <c r="B46" s="33">
        <f t="shared" si="0"/>
        <v>207.21593830334189</v>
      </c>
      <c r="C46" s="34" t="s">
        <v>111</v>
      </c>
      <c r="D46" s="174"/>
    </row>
    <row r="47" spans="1:7">
      <c r="A47" s="171" t="s">
        <v>74</v>
      </c>
      <c r="B47" s="33">
        <f t="shared" si="0"/>
        <v>1988.8457583547558</v>
      </c>
      <c r="C47" s="34" t="s">
        <v>111</v>
      </c>
      <c r="D47" s="174"/>
    </row>
    <row r="48" spans="1:7">
      <c r="A48" s="171" t="s">
        <v>75</v>
      </c>
      <c r="B48" s="33">
        <f t="shared" si="0"/>
        <v>296.93830334190233</v>
      </c>
      <c r="C48" s="33">
        <f>B48*10</f>
        <v>2969.3830334190234</v>
      </c>
      <c r="D48" s="234"/>
    </row>
    <row r="49" spans="1:6">
      <c r="A49" s="171" t="s">
        <v>76</v>
      </c>
      <c r="B49" s="33" t="str">
        <f t="shared" si="0"/>
        <v>-</v>
      </c>
      <c r="C49" s="34" t="s">
        <v>111</v>
      </c>
      <c r="D49" s="234"/>
    </row>
    <row r="50" spans="1:6">
      <c r="A50" s="171" t="s">
        <v>77</v>
      </c>
      <c r="B50" s="33">
        <f t="shared" si="0"/>
        <v>24.399999999999977</v>
      </c>
      <c r="C50" s="33">
        <f>B50*2</f>
        <v>48.799999999999955</v>
      </c>
      <c r="D50" s="234"/>
    </row>
    <row r="51" spans="1:6">
      <c r="A51" s="171" t="s">
        <v>78</v>
      </c>
      <c r="B51" s="33">
        <f t="shared" si="0"/>
        <v>1843.6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54</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53</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52</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51</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50</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55</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260</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488</v>
      </c>
      <c r="B13" s="247">
        <f ca="1">'lokale energieproductie'!N91+'lokale energieproductie'!N60</f>
        <v>2700</v>
      </c>
      <c r="C13" s="247">
        <f ca="1">'lokale energieproductie'!O91+'lokale energieproductie'!O60</f>
        <v>3857.1428571428573</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25062.913049138311</v>
      </c>
      <c r="C16" s="21">
        <f t="shared" ca="1" si="1"/>
        <v>3857.1428571428573</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0</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0.18540379267705626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4646.7591348455271</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6897.5845521294996</v>
      </c>
      <c r="C26" s="39">
        <f>IF(ISERROR(B26*3.6/1000000/'E Balans VL '!Z12*100),0,B26*3.6/1000000/'E Balans VL '!Z12*100)</f>
        <v>0.14580401077548558</v>
      </c>
      <c r="D26" s="237" t="s">
        <v>754</v>
      </c>
      <c r="F26" s="6"/>
    </row>
    <row r="27" spans="1:18">
      <c r="A27" s="231" t="s">
        <v>53</v>
      </c>
      <c r="B27" s="33">
        <f>IF(ISERROR(TER_horeca_ele_kWh/1000),0,TER_horeca_ele_kWh/1000)</f>
        <v>1015.23937247258</v>
      </c>
      <c r="C27" s="39">
        <f>IF(ISERROR(B27*3.6/1000000/'E Balans VL '!Z9*100),0,B27*3.6/1000000/'E Balans VL '!Z9*100)</f>
        <v>8.0030941332981401E-2</v>
      </c>
      <c r="D27" s="237" t="s">
        <v>754</v>
      </c>
      <c r="F27" s="6"/>
    </row>
    <row r="28" spans="1:18">
      <c r="A28" s="171" t="s">
        <v>52</v>
      </c>
      <c r="B28" s="33">
        <f>IF(ISERROR(TER_handel_ele_kWh/1000),0,TER_handel_ele_kWh/1000)</f>
        <v>4513.3160545371902</v>
      </c>
      <c r="C28" s="39">
        <f>IF(ISERROR(B28*3.6/1000000/'E Balans VL '!Z13*100),0,B28*3.6/1000000/'E Balans VL '!Z13*100)</f>
        <v>0.13099466774296681</v>
      </c>
      <c r="D28" s="237" t="s">
        <v>754</v>
      </c>
      <c r="F28" s="6"/>
    </row>
    <row r="29" spans="1:18">
      <c r="A29" s="231" t="s">
        <v>51</v>
      </c>
      <c r="B29" s="33">
        <f>IF(ISERROR(TER_gezond_ele_kWh/1000),0,TER_gezond_ele_kWh/1000)</f>
        <v>337.26311589244801</v>
      </c>
      <c r="C29" s="39">
        <f>IF(ISERROR(B29*3.6/1000000/'E Balans VL '!Z10*100),0,B29*3.6/1000000/'E Balans VL '!Z10*100)</f>
        <v>3.5519344110019696E-2</v>
      </c>
      <c r="D29" s="237" t="s">
        <v>754</v>
      </c>
      <c r="F29" s="6"/>
    </row>
    <row r="30" spans="1:18">
      <c r="A30" s="231" t="s">
        <v>50</v>
      </c>
      <c r="B30" s="33">
        <f>IF(ISERROR(TER_ander_ele_kWh/1000),0,TER_ander_ele_kWh/1000)</f>
        <v>893.25570491216001</v>
      </c>
      <c r="C30" s="39">
        <f>IF(ISERROR(B30*3.6/1000000/'E Balans VL '!Z14*100),0,B30*3.6/1000000/'E Balans VL '!Z14*100)</f>
        <v>6.5886734808494926E-2</v>
      </c>
      <c r="D30" s="237" t="s">
        <v>754</v>
      </c>
      <c r="F30" s="6"/>
    </row>
    <row r="31" spans="1:18">
      <c r="A31" s="231" t="s">
        <v>55</v>
      </c>
      <c r="B31" s="33">
        <f>IF(ISERROR(TER_onderwijs_ele_kWh/1000),0,TER_onderwijs_ele_kWh/1000)</f>
        <v>155.099726676583</v>
      </c>
      <c r="C31" s="39">
        <f>IF(ISERROR(B31*3.6/1000000/'E Balans VL '!Z11*100),0,B31*3.6/1000000/'E Balans VL '!Z11*100)</f>
        <v>3.8518527432861521E-2</v>
      </c>
      <c r="D31" s="237" t="s">
        <v>754</v>
      </c>
    </row>
    <row r="32" spans="1:18">
      <c r="A32" s="231" t="s">
        <v>260</v>
      </c>
      <c r="B32" s="33">
        <f>IF(ISERROR(TER_rest_ele_kWh/1000),0,TER_rest_ele_kWh/1000)</f>
        <v>8551.1545225178506</v>
      </c>
      <c r="C32" s="39">
        <f>IF(ISERROR(B32*3.6/1000000/'E Balans VL '!Z8*100),0,B32*3.6/1000000/'E Balans VL '!Z8*100)</f>
        <v>7.0364651216501942E-2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4318.5215651939707</v>
      </c>
      <c r="O5" s="17">
        <f>B43*B44*B45</f>
        <v>0</v>
      </c>
      <c r="P5" s="17">
        <f>B51*B52*B53/1000-B51*B52*B53/1000/B54</f>
        <v>0</v>
      </c>
      <c r="R5" s="32"/>
    </row>
    <row r="6" spans="1:18">
      <c r="A6" s="6" t="s">
        <v>35</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33</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563.03147759243177</v>
      </c>
      <c r="O9" s="33"/>
      <c r="P9" s="33"/>
      <c r="R9" s="32"/>
    </row>
    <row r="10" spans="1:18">
      <c r="A10" s="6" t="s">
        <v>41</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40</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417.25788169854076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3289.5891269056287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4318.5215651939707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0.18540379267705626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3425.9983387778816</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1291.7242065695</v>
      </c>
      <c r="C30" s="39">
        <f>IF(ISERROR(B30*3.6/1000000/'E Balans VL '!Z18*100),0,B30*3.6/1000000/'E Balans VL '!Z18*100)</f>
        <v>7.3205322983792953E-2</v>
      </c>
      <c r="D30" s="237" t="s">
        <v>754</v>
      </c>
    </row>
    <row r="31" spans="1:18">
      <c r="A31" s="6" t="s">
        <v>33</v>
      </c>
      <c r="B31" s="37">
        <f>IF( ISERROR(IND_ander_ele_kWh/1000),0,IND_ander_ele_kWh/1000)</f>
        <v>1704.0104426881501</v>
      </c>
      <c r="C31" s="39">
        <f>IF(ISERROR(B31*3.6/1000000/'E Balans VL '!Z19*100),0,B31*3.6/1000000/'E Balans VL '!Z19*100)</f>
        <v>7.7286818304343974E-2</v>
      </c>
      <c r="D31" s="237" t="s">
        <v>754</v>
      </c>
    </row>
    <row r="32" spans="1:18">
      <c r="A32" s="171" t="s">
        <v>41</v>
      </c>
      <c r="B32" s="37">
        <f>IF( ISERROR(IND_voed_ele_kWh/1000),0,IND_voed_ele_kWh/1000)</f>
        <v>418.78003106730904</v>
      </c>
      <c r="C32" s="39">
        <f>IF(ISERROR(B32*3.6/1000000/'E Balans VL '!Z20*100),0,B32*3.6/1000000/'E Balans VL '!Z20*100)</f>
        <v>1.2954767461732528E-2</v>
      </c>
      <c r="D32" s="237" t="s">
        <v>754</v>
      </c>
    </row>
    <row r="33" spans="1:5">
      <c r="A33" s="171" t="s">
        <v>40</v>
      </c>
      <c r="B33" s="37">
        <f>IF( ISERROR(IND_textiel_ele_kWh/1000),0,IND_textiel_ele_kWh/1000)</f>
        <v>23.834409727955002</v>
      </c>
      <c r="C33" s="39">
        <f>IF(ISERROR(B33*3.6/1000000/'E Balans VL '!Z21*100),0,B33*3.6/1000000/'E Balans VL '!Z21*100)</f>
        <v>3.1077420955707832E-3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143.54725203545399</v>
      </c>
      <c r="C35" s="39">
        <f>IF(ISERROR(B35*3.6/1000000/'E Balans VL '!Z22*100),0,B35*3.6/1000000/'E Balans VL '!Z22*100)</f>
        <v>2.5819672018494583E-2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14664.997487345001</v>
      </c>
      <c r="C37" s="39">
        <f>IF(ISERROR(B37*3.6/1000000/'E Balans VL '!Z15*100),0,B37*3.6/1000000/'E Balans VL '!Z15*100)</f>
        <v>0.11623811541699267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2512.9540043938919</v>
      </c>
      <c r="C5" s="17">
        <f>'Eigen informatie GS &amp; warmtenet'!B60</f>
        <v>0</v>
      </c>
      <c r="D5" s="30">
        <f>IF(ISERROR(SUM(LB_lb_gas_kWh,LB_rest_gas_kWh)/1000),0,SUM(LB_lb_gas_kWh,LB_rest_gas_kWh)/1000)*0.902</f>
        <v>444.16643554577479</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2512.9540043938919</v>
      </c>
      <c r="C8" s="21">
        <f>C5+C6</f>
        <v>0</v>
      </c>
      <c r="D8" s="21">
        <f>MAX((D5+D6),0)</f>
        <v>444.16643554577479</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0.18540379267705626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465.91120323762345</v>
      </c>
      <c r="C12" s="23">
        <f ca="1">C8*C10</f>
        <v>0</v>
      </c>
      <c r="D12" s="23">
        <f>D8*D10</f>
        <v>89.721619980246516</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0.35659605737623989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377.24266161679884</v>
      </c>
      <c r="C26" s="247">
        <f>B26*'GWP N2O_CH4'!B5</f>
        <v>7922.0958939527754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156.34700990620507</v>
      </c>
      <c r="C27" s="247">
        <f>B27*'GWP N2O_CH4'!B5</f>
        <v>3283.2872080303064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7">
        <f>B28*'GWP N2O_CH4'!B4</f>
        <v>1677.2645495695701</v>
      </c>
      <c r="D28" s="50"/>
    </row>
    <row r="29" spans="1:4">
      <c r="A29" s="41" t="s">
        <v>277</v>
      </c>
      <c r="B29" s="247">
        <f>B34*'ha_N2O bodem landbouw'!B4</f>
        <v>27.745536809895341</v>
      </c>
      <c r="C29" s="247">
        <f>B29*'GWP N2O_CH4'!B4</f>
        <v>8601.1164110675563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6.3314358846446213E-3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1.2173249985055094E-4</v>
      </c>
      <c r="C5" s="463" t="s">
        <v>211</v>
      </c>
      <c r="D5" s="448">
        <f>SUM(D6:D11)</f>
        <v>5.1449514921873612E-4</v>
      </c>
      <c r="E5" s="448">
        <f>SUM(E6:E11)</f>
        <v>6.6841815352510555E-4</v>
      </c>
      <c r="F5" s="461" t="s">
        <v>211</v>
      </c>
      <c r="G5" s="448">
        <f>SUM(G6:G11)</f>
        <v>0.23325303978814563</v>
      </c>
      <c r="H5" s="448">
        <f>SUM(H6:H11)</f>
        <v>5.7442506896077376E-2</v>
      </c>
      <c r="I5" s="463" t="s">
        <v>211</v>
      </c>
      <c r="J5" s="463" t="s">
        <v>211</v>
      </c>
      <c r="K5" s="463" t="s">
        <v>211</v>
      </c>
      <c r="L5" s="463" t="s">
        <v>211</v>
      </c>
      <c r="M5" s="448">
        <f>SUM(M6:M11)</f>
        <v>1.5322409433513495E-2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5.7724809829486177E-5</v>
      </c>
      <c r="C6" s="449"/>
      <c r="D6" s="892">
        <f>vkm_2011_GW_PW*SUMIFS(TableVerdeelsleutelVkm[CNG],TableVerdeelsleutelVkm[Voertuigtype],"Lichte voertuigen")*SUMIFS(TableECFTransport[EnergieConsumptieFactor (PJ per km)],TableECFTransport[Index],CONCATENATE($A6,"_CNG_CNG"))</f>
        <v>1.7314129846124734E-4</v>
      </c>
      <c r="E6" s="892">
        <f>vkm_2011_GW_PW*SUMIFS(TableVerdeelsleutelVkm[LPG],TableVerdeelsleutelVkm[Voertuigtype],"Lichte voertuigen")*SUMIFS(TableECFTransport[EnergieConsumptieFactor (PJ per km)],TableECFTransport[Index],CONCATENATE($A6,"_LPG_LPG"))</f>
        <v>2.3653588421991244E-4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6.1157336685807799E-2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1.9692830443416635E-2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4.1540222605470946E-3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3.855758440517823E-2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1.1751568232602142E-5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2.2531751467327081E-3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6.4007690021064767E-5</v>
      </c>
      <c r="C8" s="449"/>
      <c r="D8" s="451">
        <f>vkm_2011_NGW_PW*SUMIFS(TableVerdeelsleutelVkm[CNG],TableVerdeelsleutelVkm[Voertuigtype],"Lichte voertuigen")*SUMIFS(TableECFTransport[EnergieConsumptieFactor (PJ per km)],TableECFTransport[Index],CONCATENATE($A8,"_CNG_CNG"))</f>
        <v>3.4135385075748879E-4</v>
      </c>
      <c r="E8" s="451">
        <f>vkm_2011_NGW_PW*SUMIFS(TableVerdeelsleutelVkm[LPG],TableVerdeelsleutelVkm[Voertuigtype],"Lichte voertuigen")*SUMIFS(TableECFTransport[EnergieConsumptieFactor (PJ per km)],TableECFTransport[Index],CONCATENATE($A8,"_LPG_LPG"))</f>
        <v>4.3188226930519308E-4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0.10405992485845603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3.7729466891246566E-2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7.1926213545275685E-3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2.9478193838703568E-2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8.457993181577745E-6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1.7225906717061249E-3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33.814583291819709</v>
      </c>
      <c r="C14" s="21"/>
      <c r="D14" s="21">
        <f t="shared" ref="D14:M14" si="0">((D5)*10^9/3600)+D12</f>
        <v>142.91531922742669</v>
      </c>
      <c r="E14" s="21">
        <f t="shared" si="0"/>
        <v>185.67170931252932</v>
      </c>
      <c r="F14" s="21"/>
      <c r="G14" s="21">
        <f t="shared" si="0"/>
        <v>64792.511052262678</v>
      </c>
      <c r="H14" s="21">
        <f t="shared" si="0"/>
        <v>15956.25191557705</v>
      </c>
      <c r="I14" s="21"/>
      <c r="J14" s="21"/>
      <c r="K14" s="21"/>
      <c r="L14" s="21"/>
      <c r="M14" s="21">
        <f t="shared" si="0"/>
        <v>4256.2248426426377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0.18540379267705626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6.2693519900975918</v>
      </c>
      <c r="C18" s="23"/>
      <c r="D18" s="23">
        <f t="shared" ref="D18:M18" si="1">D14*D16</f>
        <v>28.868894483940196</v>
      </c>
      <c r="E18" s="23">
        <f t="shared" si="1"/>
        <v>42.147478013944159</v>
      </c>
      <c r="F18" s="23"/>
      <c r="G18" s="23">
        <f t="shared" si="1"/>
        <v>17299.600450954134</v>
      </c>
      <c r="H18" s="23">
        <f t="shared" si="1"/>
        <v>3973.1067269786854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3.9774248662700152E-3</v>
      </c>
      <c r="H50" s="321">
        <f t="shared" si="2"/>
        <v>0</v>
      </c>
      <c r="I50" s="321">
        <f t="shared" si="2"/>
        <v>0</v>
      </c>
      <c r="J50" s="321">
        <f t="shared" si="2"/>
        <v>0</v>
      </c>
      <c r="K50" s="321">
        <f t="shared" si="2"/>
        <v>0</v>
      </c>
      <c r="L50" s="321">
        <f t="shared" si="2"/>
        <v>0</v>
      </c>
      <c r="M50" s="321">
        <f t="shared" si="2"/>
        <v>2.2590017375825086E-4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3.9774248662700152E-3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2.2590017375825086E-4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1104.8402406305597</v>
      </c>
      <c r="H54" s="21">
        <f t="shared" si="3"/>
        <v>0</v>
      </c>
      <c r="I54" s="21">
        <f t="shared" si="3"/>
        <v>0</v>
      </c>
      <c r="J54" s="21">
        <f t="shared" si="3"/>
        <v>0</v>
      </c>
      <c r="K54" s="21">
        <f t="shared" si="3"/>
        <v>0</v>
      </c>
      <c r="L54" s="21">
        <f t="shared" si="3"/>
        <v>0</v>
      </c>
      <c r="M54" s="21">
        <f t="shared" si="3"/>
        <v>62.750048266180798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0.18540379267705626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294.99234424835947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3531.0186567719961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8631.3550700929991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2700</v>
      </c>
      <c r="C8" s="570">
        <f>B101</f>
        <v>0</v>
      </c>
      <c r="D8" s="1044"/>
      <c r="E8" s="1044">
        <f>E101</f>
        <v>0</v>
      </c>
      <c r="F8" s="1045"/>
      <c r="G8" s="571"/>
      <c r="H8" s="1044">
        <f>I101</f>
        <v>0</v>
      </c>
      <c r="I8" s="1044">
        <f>G101+F101</f>
        <v>0</v>
      </c>
      <c r="J8" s="1044">
        <f>H101+D101+C101</f>
        <v>3176.4705882352946</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14862.373726864995</v>
      </c>
      <c r="C10" s="583">
        <f t="shared" ref="C10:L10" si="0">SUM(C8:C9)</f>
        <v>0</v>
      </c>
      <c r="D10" s="583">
        <f t="shared" si="0"/>
        <v>0</v>
      </c>
      <c r="E10" s="583">
        <f t="shared" si="0"/>
        <v>0</v>
      </c>
      <c r="F10" s="583">
        <f t="shared" si="0"/>
        <v>0</v>
      </c>
      <c r="G10" s="583">
        <f t="shared" si="0"/>
        <v>0</v>
      </c>
      <c r="H10" s="583">
        <f t="shared" si="0"/>
        <v>0</v>
      </c>
      <c r="I10" s="583">
        <f t="shared" si="0"/>
        <v>0</v>
      </c>
      <c r="J10" s="583">
        <f t="shared" si="0"/>
        <v>3176.4705882352946</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3857.1428571428573</v>
      </c>
      <c r="C17" s="595">
        <f>B102</f>
        <v>0</v>
      </c>
      <c r="D17" s="596"/>
      <c r="E17" s="596">
        <f>E102</f>
        <v>0</v>
      </c>
      <c r="F17" s="1050"/>
      <c r="G17" s="597"/>
      <c r="H17" s="595">
        <f>I102</f>
        <v>0</v>
      </c>
      <c r="I17" s="596">
        <f>G102+F102</f>
        <v>0</v>
      </c>
      <c r="J17" s="596">
        <f>H102+D102+C102</f>
        <v>4537.815126050421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3857.1428571428573</v>
      </c>
      <c r="C20" s="582">
        <f>SUM(C17:C19)</f>
        <v>0</v>
      </c>
      <c r="D20" s="582">
        <f t="shared" ref="D20:L20" si="1">SUM(D17:D19)</f>
        <v>0</v>
      </c>
      <c r="E20" s="582">
        <f t="shared" si="1"/>
        <v>0</v>
      </c>
      <c r="F20" s="582">
        <f t="shared" si="1"/>
        <v>0</v>
      </c>
      <c r="G20" s="582">
        <f t="shared" si="1"/>
        <v>0</v>
      </c>
      <c r="H20" s="582">
        <f t="shared" si="1"/>
        <v>0</v>
      </c>
      <c r="I20" s="582">
        <f t="shared" si="1"/>
        <v>0</v>
      </c>
      <c r="J20" s="582">
        <f t="shared" si="1"/>
        <v>4537.815126050421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34042</v>
      </c>
      <c r="C28" s="796">
        <v>8550</v>
      </c>
      <c r="D28" s="653"/>
      <c r="E28" s="652"/>
      <c r="F28" s="652" t="s">
        <v>881</v>
      </c>
      <c r="G28" s="652" t="s">
        <v>882</v>
      </c>
      <c r="H28" s="652" t="s">
        <v>883</v>
      </c>
      <c r="I28" s="652" t="s">
        <v>884</v>
      </c>
      <c r="J28" s="795">
        <v>42284</v>
      </c>
      <c r="K28" s="795">
        <v>42286</v>
      </c>
      <c r="L28" s="652" t="s">
        <v>885</v>
      </c>
      <c r="M28" s="652">
        <v>600</v>
      </c>
      <c r="N28" s="652">
        <v>2700</v>
      </c>
      <c r="O28" s="652">
        <v>3857.1428571428573</v>
      </c>
      <c r="P28" s="652">
        <v>0</v>
      </c>
      <c r="Q28" s="652">
        <v>0</v>
      </c>
      <c r="R28" s="652">
        <v>7714.2857142857147</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600</v>
      </c>
      <c r="N58" s="610">
        <f>SUM(N28:N57)</f>
        <v>2700</v>
      </c>
      <c r="O58" s="610">
        <f t="shared" ref="O58:W58" si="2">SUM(O28:O57)</f>
        <v>3857.1428571428573</v>
      </c>
      <c r="P58" s="610">
        <f t="shared" si="2"/>
        <v>0</v>
      </c>
      <c r="Q58" s="610">
        <f t="shared" si="2"/>
        <v>0</v>
      </c>
      <c r="R58" s="610">
        <f t="shared" si="2"/>
        <v>7714.2857142857147</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600</v>
      </c>
      <c r="N60" s="610">
        <f ca="1">SUMIF($Z$28:AD57,"tertiair",N28:N57)</f>
        <v>2700</v>
      </c>
      <c r="O60" s="610">
        <f ca="1">SUMIF($Z$28:AE57,"tertiair",O28:O57)</f>
        <v>3857.1428571428573</v>
      </c>
      <c r="P60" s="610">
        <f ca="1">SUMIF($Z$28:AF57,"tertiair",P28:P57)</f>
        <v>0</v>
      </c>
      <c r="Q60" s="610">
        <f ca="1">SUMIF($Z$28:AG57,"tertiair",Q28:Q57)</f>
        <v>0</v>
      </c>
      <c r="R60" s="610">
        <f ca="1">SUMIF($Z$28:AH57,"tertiair",R28:R57)</f>
        <v>7714.2857142857147</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3176.4705882352946</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4537.815126050421</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2019-08-12T08:33:36Z</dcterms:modified>
</cp:coreProperties>
</file>