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<sst xmlns="http://schemas.openxmlformats.org/spreadsheetml/2006/main" count="2383" uniqueCount="881">
  <si>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</si>
  <si>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</si>
  <si>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</si>
  <si>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</si>
  <si>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</si>
  <si>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</si>
  <si>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</si>
  <si>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</si>
  <si>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</si>
  <si>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</si>
  <si>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</si>
  <si>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</si>
  <si>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</si>
  <si>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</si>
  <si>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</si>
  <si>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</si>
  <si>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</si>
  <si>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</si>
  <si>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</si>
  <si>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</si>
  <si>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</si>
  <si>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</si>
  <si>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</si>
  <si>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</si>
  <si>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</si>
  <si>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</si>
  <si>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</si>
  <si>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</si>
  <si>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</si>
  <si>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</si>
  <si>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</si>
  <si>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</si>
  <si>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</si>
  <si>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</si>
  <si>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</si>
  <si>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</si>
  <si>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</si>
  <si>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</si>
  <si>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</si>
  <si>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</si>
  <si>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</si>
  <si>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</si>
  <si>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</si>
  <si>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</si>
  <si>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</si>
  <si>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</si>
  <si>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</si>
  <si>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</si>
  <si>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</si>
  <si>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</si>
  <si>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</si>
  <si>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</si>
  <si>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</si>
  <si>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</si>
  <si>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</si>
  <si>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</si>
  <si>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</si>
  <si>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</si>
  <si>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</si>
  <si>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</si>
  <si>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</si>
  <si>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</si>
  <si>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</si>
  <si>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</si>
  <si>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</si>
  <si>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</si>
  <si>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</si>
  <si>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</si>
  <si>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</si>
  <si>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</si>
  <si>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</si>
  <si>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</si>
  <si>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</si>
  <si>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</si>
  <si>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</si>
  <si>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</si>
  <si>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</si>
  <si>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</si>
  <si>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</si>
  <si>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</si>
  <si>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</si>
  <si>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</si>
  <si>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</si>
  <si>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</si>
  <si>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</si>
  <si>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</si>
  <si>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</si>
  <si>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</si>
  <si>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</si>
  <si>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</si>
  <si>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</si>
  <si>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</si>
  <si>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</si>
  <si>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</si>
  <si>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</si>
  <si>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</si>
  <si>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</si>
  <si>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</si>
  <si>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</si>
  <si>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</si>
  <si>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</si>
  <si>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</si>
  <si>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</si>
  <si>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</si>
  <si>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</si>
  <si>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</si>
  <si>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</si>
  <si>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</si>
  <si>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</si>
  <si>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</si>
  <si>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</si>
  <si>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</si>
  <si>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</si>
  <si>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</si>
  <si>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</si>
  <si>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</si>
  <si>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</si>
  <si>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</si>
  <si>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</si>
  <si>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</si>
  <si>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</si>
  <si>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</si>
  <si>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</si>
  <si>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</si>
  <si>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</si>
  <si>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</si>
  <si>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</si>
  <si>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</si>
  <si>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</si>
  <si>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</si>
  <si>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</si>
  <si>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</si>
  <si>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</si>
  <si>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</si>
  <si>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</si>
  <si>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</si>
  <si>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</si>
  <si>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</si>
  <si>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</si>
  <si>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</si>
  <si>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</si>
  <si>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</si>
  <si>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</si>
  <si>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</si>
  <si>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</si>
  <si>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</si>
  <si>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</si>
  <si>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</si>
  <si>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</si>
  <si>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</si>
  <si>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</si>
  <si>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</si>
  <si>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</si>
  <si>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</si>
  <si>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</si>
  <si>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</si>
  <si>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</si>
  <si>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</si>
  <si>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</si>
  <si>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</si>
  <si>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</si>
  <si>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</si>
  <si>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</si>
  <si>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</si>
  <si>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</si>
  <si>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</si>
  <si>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</si>
  <si>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</si>
  <si>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</si>
  <si>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</si>
  <si>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</si>
  <si>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</si>
  <si>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</si>
  <si>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</si>
  <si>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</si>
  <si>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</si>
  <si>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</si>
  <si>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</si>
  <si>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</si>
  <si>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</si>
  <si>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</si>
  <si>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</si>
  <si>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</si>
  <si>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</si>
  <si>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</si>
  <si>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</si>
  <si>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</si>
  <si>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</si>
  <si>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</si>
  <si>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</si>
  <si>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</si>
  <si>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</si>
  <si>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</si>
  <si>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</si>
  <si>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</si>
  <si>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</si>
  <si>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</si>
  <si>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</si>
  <si>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</si>
  <si>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</si>
  <si>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</si>
  <si>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</si>
  <si>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</si>
  <si>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</si>
  <si>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</si>
  <si>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</si>
  <si>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</si>
  <si>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</si>
  <si>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</si>
  <si>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</si>
  <si>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</si>
  <si>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</si>
  <si>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</si>
  <si>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</si>
  <si>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</si>
  <si>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</si>
  <si>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</si>
  <si>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</si>
  <si>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</si>
  <si>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</si>
  <si>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</si>
  <si>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</si>
  <si>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</si>
  <si>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</si>
  <si>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</si>
  <si>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</si>
  <si>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</si>
  <si>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</si>
  <si>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</si>
  <si>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</si>
  <si>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</si>
  <si>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</si>
  <si>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</si>
  <si>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</si>
  <si>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</si>
  <si>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</si>
  <si>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</si>
  <si>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</si>
  <si>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</si>
  <si>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</si>
  <si>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</si>
  <si>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</si>
  <si>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</si>
  <si>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</si>
  <si>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</si>
  <si>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</si>
  <si>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</si>
  <si>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</si>
  <si>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</si>
  <si>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</si>
  <si>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</si>
  <si>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</si>
  <si>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</si>
  <si>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</si>
  <si>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</si>
  <si>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</si>
  <si>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</si>
  <si>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</si>
  <si>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</si>
  <si>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</si>
  <si>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</si>
  <si>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</si>
  <si>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</si>
  <si>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</si>
  <si>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</si>
  <si>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</si>
  <si>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</si>
  <si>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</si>
  <si>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</si>
  <si>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</si>
  <si>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</si>
  <si>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</si>
  <si>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</si>
  <si>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</si>
  <si>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</si>
  <si>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</si>
  <si>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</si>
  <si>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</si>
  <si>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</si>
  <si>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</si>
  <si>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</si>
  <si>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</si>
  <si>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</si>
  <si>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</si>
  <si>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</si>
  <si>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</si>
  <si>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</si>
  <si>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</si>
  <si>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</si>
  <si>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</si>
  <si>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</si>
  <si>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</si>
  <si>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</si>
  <si>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</si>
  <si>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</si>
  <si>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</si>
  <si>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</si>
  <si>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</si>
  <si>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</si>
  <si>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</si>
  <si>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</si>
  <si>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</si>
  <si>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</si>
  <si>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</si>
  <si>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</si>
  <si>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</si>
  <si>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</si>
  <si>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</si>
  <si>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</si>
  <si>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</si>
  <si>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</si>
  <si>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</si>
  <si>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</si>
  <si>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</si>
  <si>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</si>
  <si>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</si>
  <si>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</si>
  <si>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</si>
  <si>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</si>
  <si>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</si>
  <si>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</si>
  <si>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</si>
  <si>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</si>
  <si>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</si>
  <si>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</si>
  <si>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</si>
  <si>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</si>
  <si>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</si>
  <si>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</si>
  <si>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</si>
  <si>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</si>
  <si>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</si>
  <si>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</si>
  <si>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</si>
  <si>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</si>
  <si>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</si>
  <si>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</si>
  <si>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</si>
  <si>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</si>
  <si>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</si>
  <si>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</si>
  <si>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</si>
  <si>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</si>
  <si>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</si>
  <si>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</si>
  <si>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</si>
  <si>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</si>
  <si>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</si>
  <si>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</si>
  <si>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</si>
  <si>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</si>
  <si>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</si>
  <si>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</si>
  <si>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</si>
  <si>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</si>
  <si>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</si>
  <si>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</si>
  <si>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</si>
  <si>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</si>
  <si>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</si>
  <si>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</si>
  <si>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</si>
  <si>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</si>
  <si>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</si>
  <si>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</si>
  <si>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</si>
  <si>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</si>
  <si>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</si>
  <si>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</si>
  <si>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</si>
  <si>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</si>
  <si>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</si>
  <si>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</si>
  <si>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</si>
  <si>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</si>
  <si>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</si>
  <si>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</si>
  <si>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</si>
  <si>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</si>
  <si>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</si>
  <si>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</si>
  <si>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</si>
  <si>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</si>
  <si>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</si>
  <si>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</si>
  <si>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</si>
  <si>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</si>
  <si>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</si>
  <si>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</si>
  <si>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</si>
  <si>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</si>
  <si>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</si>
  <si>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</si>
  <si>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</si>
  <si>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</si>
  <si>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</si>
  <si>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</si>
  <si>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</si>
  <si>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</si>
  <si>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</si>
  <si>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</si>
  <si>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</si>
  <si>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</si>
  <si>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</si>
  <si>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</si>
  <si>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</si>
  <si>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</si>
  <si>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</si>
  <si>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</si>
  <si>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</si>
  <si>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</si>
  <si>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</si>
  <si>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</si>
  <si>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</si>
  <si>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</si>
  <si>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</si>
  <si>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</si>
  <si>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</si>
  <si>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</si>
  <si>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</si>
  <si>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</si>
  <si>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</si>
  <si>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</si>
  <si>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</si>
  <si>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</si>
  <si>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</si>
  <si>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</si>
  <si>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</si>
  <si>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</si>
  <si>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</si>
  <si>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</si>
  <si>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</si>
  <si>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</si>
  <si>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</si>
  <si>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</si>
  <si>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</si>
  <si>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</si>
  <si>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</si>
  <si>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</si>
  <si>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</si>
  <si>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</si>
  <si>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</si>
  <si>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</si>
  <si>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</si>
  <si>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</si>
  <si>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</si>
  <si>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</si>
  <si>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</si>
  <si>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</si>
  <si>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</si>
  <si>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</si>
  <si>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</si>
  <si>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</si>
  <si>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</si>
  <si>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</si>
  <si>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</si>
  <si>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</si>
  <si>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</si>
  <si>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</si>
  <si>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</si>
  <si>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</si>
  <si>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</si>
  <si>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</si>
  <si>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</si>
  <si>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</si>
  <si>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</si>
  <si>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</si>
  <si>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</si>
  <si>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</si>
  <si>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</si>
  <si>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</si>
  <si>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</si>
  <si>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</si>
  <si>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</si>
  <si>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</si>
  <si>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</si>
  <si>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</si>
  <si>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</si>
  <si>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</si>
  <si>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</si>
  <si>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</si>
  <si>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</si>
  <si>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</si>
  <si>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</si>
  <si>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</si>
  <si>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</si>
  <si>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</si>
  <si>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</si>
  <si>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</si>
  <si>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</si>
  <si>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</si>
  <si>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</si>
  <si>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</si>
  <si>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</si>
  <si>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</si>
  <si>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</si>
  <si>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</si>
  <si>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</si>
  <si>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</si>
  <si>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</si>
  <si>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</si>
  <si>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</si>
  <si>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</si>
  <si>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</si>
  <si>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</si>
  <si>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</si>
  <si>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</si>
  <si>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</si>
  <si>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</si>
  <si>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</si>
  <si>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</si>
  <si>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</si>
  <si>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</si>
  <si>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</si>
  <si>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</si>
  <si>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</si>
  <si>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</si>
  <si>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</si>
  <si>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</si>
  <si>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</si>
  <si>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</si>
  <si>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</si>
  <si>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</si>
  <si>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</si>
  <si>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</si>
  <si>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</si>
  <si>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</si>
  <si>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</si>
  <si>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</si>
  <si>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</si>
  <si>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</si>
  <si>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</si>
  <si>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</si>
  <si>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</si>
  <si>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</si>
  <si>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</si>
  <si>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</si>
  <si>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</si>
  <si>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</si>
  <si>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</si>
  <si>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</si>
  <si>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</si>
  <si>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</si>
  <si>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</si>
  <si>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</si>
  <si>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</si>
  <si>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</si>
  <si>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</si>
  <si>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</si>
  <si>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</si>
  <si>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</si>
  <si>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</si>
  <si>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</si>
  <si>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</si>
  <si>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</si>
  <si>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</si>
  <si>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</si>
  <si>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</si>
  <si>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</si>
  <si>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</si>
  <si>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</si>
  <si>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</si>
  <si>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</si>
  <si>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</si>
  <si>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</si>
  <si>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</si>
  <si>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</si>
  <si>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</si>
  <si>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</si>
  <si>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</si>
  <si>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</si>
  <si>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</si>
  <si>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</si>
  <si>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</si>
  <si>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</si>
  <si>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</si>
  <si>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</si>
  <si>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</si>
  <si>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</si>
  <si>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</si>
  <si>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</si>
  <si>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</si>
  <si>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</si>
  <si>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</si>
  <si>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</si>
  <si>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</si>
  <si>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</si>
  <si>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</si>
  <si>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</si>
  <si>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</si>
  <si>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</si>
  <si>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</si>
  <si>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</si>
  <si>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</si>
  <si>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</si>
  <si>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</si>
  <si>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</si>
  <si>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</si>
  <si>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</si>
  <si>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</si>
  <si>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</si>
  <si>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</si>
  <si>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</si>
  <si>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</si>
  <si>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</si>
  <si>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</si>
  <si>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</si>
  <si>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</si>
  <si>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</si>
  <si>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</si>
  <si>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</si>
  <si>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</si>
  <si>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</si>
  <si>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</si>
  <si>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</si>
  <si>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</si>
  <si>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</si>
  <si>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</si>
  <si>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</si>
  <si>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</si>
  <si>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</si>
  <si>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</si>
  <si>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</si>
  <si>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</si>
  <si>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</si>
  <si>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</si>
  <si>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</si>
  <si>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</si>
  <si>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</si>
  <si>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</si>
  <si>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</si>
  <si>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</si>
  <si>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</si>
  <si>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</si>
  <si>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</si>
  <si>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</si>
  <si>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</si>
  <si>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</si>
  <si>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</si>
  <si>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</si>
  <si>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</si>
  <si>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</si>
  <si>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</si>
  <si>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</si>
  <si>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</si>
  <si>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</si>
  <si>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</si>
  <si>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</si>
  <si>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</si>
  <si>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</si>
  <si>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</si>
  <si>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</si>
  <si>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</si>
  <si>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</si>
  <si>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</si>
  <si>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</si>
  <si>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</si>
  <si>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</si>
  <si>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</si>
  <si>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</si>
  <si>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</si>
  <si>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</si>
  <si>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</si>
  <si>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</si>
  <si>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</si>
  <si>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</si>
  <si>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</si>
  <si>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</si>
  <si>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</si>
  <si>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</si>
  <si>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</si>
  <si>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</si>
  <si>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</si>
  <si>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</si>
  <si>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</si>
  <si>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</si>
  <si>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</si>
  <si>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</si>
  <si>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</si>
  <si>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</si>
  <si>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</si>
  <si>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</si>
  <si>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</si>
  <si>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</si>
  <si>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</si>
  <si>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</si>
  <si>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</si>
  <si>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</si>
  <si>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</si>
  <si>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</si>
  <si>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</si>
  <si>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</si>
  <si>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</si>
  <si>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</si>
  <si>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</si>
  <si>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</si>
  <si>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</si>
  <si>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</si>
  <si>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</si>
  <si>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</si>
  <si>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</si>
  <si>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</si>
  <si>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</si>
  <si>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</si>
  <si>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</si>
  <si>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</si>
  <si>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</si>
  <si>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</si>
  <si>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</si>
  <si>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</si>
  <si>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</si>
  <si>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</si>
  <si>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</si>
  <si>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</si>
  <si>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</si>
  <si>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</si>
  <si>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</si>
  <si>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</si>
  <si>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</si>
  <si>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</si>
  <si>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</si>
  <si>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</si>
  <si>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</si>
  <si>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</si>
  <si>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</si>
  <si>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</si>
  <si>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</si>
  <si>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</si>
  <si>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</si>
  <si>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</si>
  <si>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</si>
  <si>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</si>
  <si>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</si>
  <si>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</si>
  <si>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</si>
  <si>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</si>
  <si>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</si>
  <si>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</si>
  <si>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</si>
  <si>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</si>
  <si>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</si>
  <si>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</si>
  <si>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</si>
  <si>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</si>
  <si>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</si>
  <si>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</si>
  <si>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</si>
  <si>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</si>
  <si>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</si>
  <si>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</si>
  <si>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</si>
  <si>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</si>
  <si>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</si>
  <si>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</si>
  <si>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</si>
  <si>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</si>
  <si>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</si>
  <si>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</si>
  <si>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</si>
  <si>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</si>
  <si>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</si>
  <si>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</si>
  <si>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</si>
  <si>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</si>
  <si>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</si>
  <si>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</si>
  <si>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</si>
  <si>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</si>
  <si>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</si>
  <si>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</si>
  <si>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</si>
  <si>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</si>
  <si>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</si>
  <si>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</si>
  <si>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</si>
  <si>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</si>
  <si>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</si>
  <si>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</si>
  <si>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</si>
  <si>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</si>
  <si>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</si>
  <si>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</si>
  <si>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</si>
  <si>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</si>
  <si>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</si>
  <si>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</si>
  <si>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</si>
  <si>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</si>
  <si>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</si>
  <si>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</si>
  <si>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</si>
  <si>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</si>
  <si>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</si>
  <si>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</si>
  <si>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</si>
  <si>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</si>
  <si>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</si>
  <si>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</si>
  <si>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</si>
  <si>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</si>
  <si>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</si>
  <si>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</si>
  <si>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</si>
  <si>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</si>
  <si>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</si>
  <si>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</si>
  <si>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</si>
  <si>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</si>
  <si>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</si>
  <si>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</si>
  <si>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</si>
  <si>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</si>
  <si>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</si>
  <si>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</si>
  <si>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</si>
  <si>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</si>
  <si>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</si>
  <si>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</si>
  <si>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</si>
  <si>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</si>
  <si>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</si>
  <si>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</si>
  <si>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</si>
  <si>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</si>
  <si>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</si>
  <si>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</si>
  <si>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</si>
  <si>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</si>
  <si>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</si>
  <si>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</si>
  <si>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</si>
  <si>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</si>
  <si>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</si>
  <si>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</si>
  <si>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</si>
  <si>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</si>
  <si>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</si>
  <si>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</si>
  <si>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</si>
  <si>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</si>
  <si>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</si>
  <si>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</si>
  <si>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</si>
  <si>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</si>
  <si>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</si>
  <si>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</si>
  <si>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</si>
  <si>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</si>
  <si>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</si>
  <si>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</si>
  <si>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</si>
  <si>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</si>
  <si>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</si>
  <si>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</si>
  <si>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</si>
  <si>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</si>
  <si>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</si>
  <si>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</si>
  <si>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</si>
  <si>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</si>
  <si>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</si>
  <si>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</si>
  <si>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</si>
  <si>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</si>
  <si>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</si>
  <si>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</si>
  <si>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</si>
  <si>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</si>
  <si>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</si>
  <si>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</si>
  <si>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</si>
  <si>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</si>
  <si>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</si>
  <si>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34040</t>
  </si>
  <si>
    <t>WAREGEM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</si>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</sst>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291197.1321563815</c:v>
                </c:pt>
                <c:pt idx="1">
                  <c:v>210362.25755178204</c:v>
                </c:pt>
                <c:pt idx="2">
                  <c:v>2858.82</c:v>
                </c:pt>
                <c:pt idx="3">
                  <c:v>9685.4071919872713</c:v>
                </c:pt>
                <c:pt idx="4">
                  <c:v>558510.13186115411</c:v>
                </c:pt>
                <c:pt idx="5">
                  <c:v>369296.52438715607</c:v>
                </c:pt>
                <c:pt idx="6">
                  <c:v>2011.7123110018335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77248"/>
        <c:axId val="176678784"/>
      </c:barChart>
      <c:catAx>
        <c:axId val="176677248"/>
        <c:scaling>
          <c:orientation val="minMax"/>
        </c:scaling>
        <c:axPos val="b"/>
        <c:numFmt formatCode="General" sourceLinked="0"/>
        <c:tickLblPos val="nextTo"/>
        <c:crossAx val="176678784"/>
        <c:crosses val="autoZero"/>
        <c:auto val="1"/>
        <c:lblAlgn val="ctr"/>
        <c:lblOffset val="100"/>
      </c:catAx>
      <c:valAx>
        <c:axId val="176678784"/>
        <c:scaling>
          <c:orientation val="minMax"/>
        </c:scaling>
        <c:axPos val="l"/>
        <c:majorGridlines>
          <c:spPr>
            <a:ln>
              <a:noFill/>
            </a:ln>
          </c:spPr>
        </c:majorGridlines>
        <c:numFmt formatCode="#,##0" sourceLinked="1"/>
        <c:tickLblPos val="nextTo"/>
        <c:crossAx val="1766772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291197.1321563815</c:v>
                </c:pt>
                <c:pt idx="1">
                  <c:v>210362.25755178204</c:v>
                </c:pt>
                <c:pt idx="2">
                  <c:v>2858.82</c:v>
                </c:pt>
                <c:pt idx="3">
                  <c:v>9685.4071919872713</c:v>
                </c:pt>
                <c:pt idx="4">
                  <c:v>558510.13186115411</c:v>
                </c:pt>
                <c:pt idx="5">
                  <c:v>369296.52438715607</c:v>
                </c:pt>
                <c:pt idx="6">
                  <c:v>2011.7123110018335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55285.836401710825</c:v>
                </c:pt>
                <c:pt idx="2">
                  <c:v>41862.604076797441</c:v>
                </c:pt>
                <c:pt idx="3">
                  <c:v>561.77232245982248</c:v>
                </c:pt>
                <c:pt idx="4">
                  <c:v>2388.3810633453322</c:v>
                </c:pt>
                <c:pt idx="5">
                  <c:v>106309.3501720424</c:v>
                </c:pt>
                <c:pt idx="6">
                  <c:v>92613.672316607466</c:v>
                </c:pt>
                <c:pt idx="7">
                  <c:v>508.26024866690062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06880"/>
        <c:axId val="183361920"/>
      </c:barChart>
      <c:catAx>
        <c:axId val="183306880"/>
        <c:scaling>
          <c:orientation val="minMax"/>
        </c:scaling>
        <c:axPos val="b"/>
        <c:numFmt formatCode="General" sourceLinked="0"/>
        <c:tickLblPos val="nextTo"/>
        <c:crossAx val="183361920"/>
        <c:crosses val="autoZero"/>
        <c:auto val="1"/>
        <c:lblAlgn val="ctr"/>
        <c:lblOffset val="100"/>
      </c:catAx>
      <c:valAx>
        <c:axId val="183361920"/>
        <c:scaling>
          <c:orientation val="minMax"/>
        </c:scaling>
        <c:axPos val="l"/>
        <c:majorGridlines>
          <c:spPr>
            <a:ln>
              <a:noFill/>
            </a:ln>
          </c:spPr>
        </c:majorGridlines>
        <c:numFmt formatCode="#,##0" sourceLinked="1"/>
        <c:tickLblPos val="nextTo"/>
        <c:crossAx val="183306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55285.836401710825</c:v>
                </c:pt>
                <c:pt idx="2">
                  <c:v>41862.604076797441</c:v>
                </c:pt>
                <c:pt idx="3">
                  <c:v>561.77232245982248</c:v>
                </c:pt>
                <c:pt idx="4">
                  <c:v>2388.3810633453322</c:v>
                </c:pt>
                <c:pt idx="5">
                  <c:v>106309.3501720424</c:v>
                </c:pt>
                <c:pt idx="6">
                  <c:v>92613.672316607466</c:v>
                </c:pt>
                <c:pt idx="7">
                  <c:v>508.26024866690062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34040</v>
      </c>
      <c r="B6" s="415"/>
      <c r="C6" s="416"/>
    </row>
    <row r="7" spans="1:7" s="413" customFormat="1" ht="15.75" customHeight="1">
      <c r="A7" s="417" t="str">
        <f>txtMunicipality</f>
        <v>WAREGEM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0.19650496444680757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0.19650496444680757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15854</v>
      </c>
      <c r="C9" s="342">
        <v>15588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1653.11</v>
      </c>
    </row>
    <row r="15" spans="1:6">
      <c r="A15" s="348" t="s">
        <v>184</v>
      </c>
      <c r="B15" s="334">
        <v>22</v>
      </c>
    </row>
    <row r="16" spans="1:6">
      <c r="A16" s="348" t="s">
        <v>6</v>
      </c>
      <c r="B16" s="334">
        <v>713</v>
      </c>
    </row>
    <row r="17" spans="1:6">
      <c r="A17" s="348" t="s">
        <v>7</v>
      </c>
      <c r="B17" s="334">
        <v>522</v>
      </c>
    </row>
    <row r="18" spans="1:6">
      <c r="A18" s="348" t="s">
        <v>8</v>
      </c>
      <c r="B18" s="334">
        <v>760</v>
      </c>
    </row>
    <row r="19" spans="1:6">
      <c r="A19" s="348" t="s">
        <v>9</v>
      </c>
      <c r="B19" s="334">
        <v>712</v>
      </c>
    </row>
    <row r="20" spans="1:6">
      <c r="A20" s="348" t="s">
        <v>10</v>
      </c>
      <c r="B20" s="334">
        <v>579</v>
      </c>
    </row>
    <row r="21" spans="1:6">
      <c r="A21" s="348" t="s">
        <v>11</v>
      </c>
      <c r="B21" s="334">
        <v>536</v>
      </c>
    </row>
    <row r="22" spans="1:6">
      <c r="A22" s="348" t="s">
        <v>12</v>
      </c>
      <c r="B22" s="334">
        <v>4547</v>
      </c>
    </row>
    <row r="23" spans="1:6">
      <c r="A23" s="348" t="s">
        <v>13</v>
      </c>
      <c r="B23" s="334">
        <v>40</v>
      </c>
    </row>
    <row r="24" spans="1:6">
      <c r="A24" s="348" t="s">
        <v>14</v>
      </c>
      <c r="B24" s="334">
        <v>8</v>
      </c>
    </row>
    <row r="25" spans="1:6">
      <c r="A25" s="348" t="s">
        <v>15</v>
      </c>
      <c r="B25" s="334">
        <v>107</v>
      </c>
    </row>
    <row r="26" spans="1:6">
      <c r="A26" s="348" t="s">
        <v>16</v>
      </c>
      <c r="B26" s="334">
        <v>250</v>
      </c>
    </row>
    <row r="27" spans="1:6">
      <c r="A27" s="348" t="s">
        <v>17</v>
      </c>
      <c r="B27" s="334">
        <v>17</v>
      </c>
    </row>
    <row r="28" spans="1:6" s="356" customFormat="1">
      <c r="A28" s="355" t="s">
        <v>18</v>
      </c>
      <c r="B28" s="355">
        <v>37545</v>
      </c>
    </row>
    <row r="29" spans="1:6">
      <c r="A29" s="355" t="s">
        <v>744</v>
      </c>
      <c r="B29" s="355">
        <v>108</v>
      </c>
      <c r="C29" s="356"/>
      <c r="D29" s="356"/>
      <c r="E29" s="356"/>
      <c r="F29" s="356"/>
    </row>
    <row r="30" spans="1:6">
      <c r="A30" s="341" t="s">
        <v>745</v>
      </c>
      <c r="B30" s="341">
        <v>61</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984836.49076880398</v>
      </c>
      <c r="E36" s="334">
        <v>5</v>
      </c>
      <c r="F36" s="334">
        <v>40130</v>
      </c>
    </row>
    <row r="37" spans="1:6">
      <c r="A37" s="348" t="s">
        <v>25</v>
      </c>
      <c r="B37" s="348" t="s">
        <v>28</v>
      </c>
      <c r="C37" s="334">
        <v>0</v>
      </c>
      <c r="D37" s="334">
        <v>0</v>
      </c>
      <c r="E37" s="334">
        <v>0</v>
      </c>
      <c r="F37" s="334">
        <v>0</v>
      </c>
    </row>
    <row r="38" spans="1:6">
      <c r="A38" s="348" t="s">
        <v>25</v>
      </c>
      <c r="B38" s="348" t="s">
        <v>29</v>
      </c>
      <c r="C38" s="334">
        <v>0</v>
      </c>
      <c r="D38" s="334">
        <v>0</v>
      </c>
      <c r="E38" s="334">
        <v>7</v>
      </c>
      <c r="F38" s="334">
        <v>47744.4580578401</v>
      </c>
    </row>
    <row r="39" spans="1:6">
      <c r="A39" s="348" t="s">
        <v>30</v>
      </c>
      <c r="B39" s="348" t="s">
        <v>31</v>
      </c>
      <c r="C39" s="334">
        <v>9662</v>
      </c>
      <c r="D39" s="334">
        <v>146656369.25065899</v>
      </c>
      <c r="E39" s="334">
        <v>15328</v>
      </c>
      <c r="F39" s="334">
        <v>58255993.840960197</v>
      </c>
    </row>
    <row r="40" spans="1:6">
      <c r="A40" s="348" t="s">
        <v>30</v>
      </c>
      <c r="B40" s="348" t="s">
        <v>29</v>
      </c>
      <c r="C40" s="334">
        <v>0</v>
      </c>
      <c r="D40" s="334">
        <v>0</v>
      </c>
      <c r="E40" s="334">
        <v>0</v>
      </c>
      <c r="F40" s="334">
        <v>0</v>
      </c>
    </row>
    <row r="41" spans="1:6">
      <c r="A41" s="348" t="s">
        <v>32</v>
      </c>
      <c r="B41" s="348" t="s">
        <v>33</v>
      </c>
      <c r="C41" s="334">
        <v>231</v>
      </c>
      <c r="D41" s="334">
        <v>9016416.9870644491</v>
      </c>
      <c r="E41" s="334">
        <v>577</v>
      </c>
      <c r="F41" s="334">
        <v>16220253.522188099</v>
      </c>
    </row>
    <row r="42" spans="1:6">
      <c r="A42" s="348" t="s">
        <v>32</v>
      </c>
      <c r="B42" s="348" t="s">
        <v>34</v>
      </c>
      <c r="C42" s="334">
        <v>8</v>
      </c>
      <c r="D42" s="334">
        <v>215149.60757681701</v>
      </c>
      <c r="E42" s="334">
        <v>7</v>
      </c>
      <c r="F42" s="334">
        <v>56745.923247685998</v>
      </c>
    </row>
    <row r="43" spans="1:6">
      <c r="A43" s="348" t="s">
        <v>32</v>
      </c>
      <c r="B43" s="348" t="s">
        <v>35</v>
      </c>
      <c r="C43" s="334">
        <v>0</v>
      </c>
      <c r="D43" s="334">
        <v>0</v>
      </c>
      <c r="E43" s="334">
        <v>0</v>
      </c>
      <c r="F43" s="334">
        <v>0</v>
      </c>
    </row>
    <row r="44" spans="1:6">
      <c r="A44" s="348" t="s">
        <v>32</v>
      </c>
      <c r="B44" s="348" t="s">
        <v>36</v>
      </c>
      <c r="C44" s="334">
        <v>19</v>
      </c>
      <c r="D44" s="334">
        <v>9894395.8306435104</v>
      </c>
      <c r="E44" s="334">
        <v>55</v>
      </c>
      <c r="F44" s="334">
        <v>6296056.6552469302</v>
      </c>
    </row>
    <row r="45" spans="1:6">
      <c r="A45" s="348" t="s">
        <v>32</v>
      </c>
      <c r="B45" s="348" t="s">
        <v>37</v>
      </c>
      <c r="C45" s="334">
        <v>0</v>
      </c>
      <c r="D45" s="334">
        <v>0</v>
      </c>
      <c r="E45" s="334">
        <v>13</v>
      </c>
      <c r="F45" s="334">
        <v>1384883.51929005</v>
      </c>
    </row>
    <row r="46" spans="1:6">
      <c r="A46" s="348" t="s">
        <v>32</v>
      </c>
      <c r="B46" s="348" t="s">
        <v>38</v>
      </c>
      <c r="C46" s="334">
        <v>0</v>
      </c>
      <c r="D46" s="334">
        <v>0</v>
      </c>
      <c r="E46" s="334">
        <v>0</v>
      </c>
      <c r="F46" s="334">
        <v>0</v>
      </c>
    </row>
    <row r="47" spans="1:6">
      <c r="A47" s="348" t="s">
        <v>32</v>
      </c>
      <c r="B47" s="348" t="s">
        <v>39</v>
      </c>
      <c r="C47" s="334">
        <v>0</v>
      </c>
      <c r="D47" s="334">
        <v>0</v>
      </c>
      <c r="E47" s="334">
        <v>13</v>
      </c>
      <c r="F47" s="334">
        <v>1081313.60232666</v>
      </c>
    </row>
    <row r="48" spans="1:6">
      <c r="A48" s="348" t="s">
        <v>32</v>
      </c>
      <c r="B48" s="348" t="s">
        <v>29</v>
      </c>
      <c r="C48" s="334">
        <v>125</v>
      </c>
      <c r="D48" s="334">
        <v>206789751.889263</v>
      </c>
      <c r="E48" s="334">
        <v>161</v>
      </c>
      <c r="F48" s="334">
        <v>135719351.951675</v>
      </c>
    </row>
    <row r="49" spans="1:6">
      <c r="A49" s="348" t="s">
        <v>32</v>
      </c>
      <c r="B49" s="348" t="s">
        <v>40</v>
      </c>
      <c r="C49" s="334">
        <v>16</v>
      </c>
      <c r="D49" s="334">
        <v>17838551.569646198</v>
      </c>
      <c r="E49" s="334">
        <v>77</v>
      </c>
      <c r="F49" s="334">
        <v>71385392.291144401</v>
      </c>
    </row>
    <row r="50" spans="1:6">
      <c r="A50" s="348" t="s">
        <v>32</v>
      </c>
      <c r="B50" s="348" t="s">
        <v>41</v>
      </c>
      <c r="C50" s="334">
        <v>9</v>
      </c>
      <c r="D50" s="334">
        <v>1005603.9490497001</v>
      </c>
      <c r="E50" s="334">
        <v>19</v>
      </c>
      <c r="F50" s="334">
        <v>932294.92108014994</v>
      </c>
    </row>
    <row r="51" spans="1:6">
      <c r="A51" s="348" t="s">
        <v>42</v>
      </c>
      <c r="B51" s="348" t="s">
        <v>43</v>
      </c>
      <c r="C51" s="334">
        <v>14</v>
      </c>
      <c r="D51" s="334">
        <v>1037227.0912473</v>
      </c>
      <c r="E51" s="334">
        <v>64</v>
      </c>
      <c r="F51" s="334">
        <v>1200637.0635755099</v>
      </c>
    </row>
    <row r="52" spans="1:6">
      <c r="A52" s="348" t="s">
        <v>42</v>
      </c>
      <c r="B52" s="348" t="s">
        <v>29</v>
      </c>
      <c r="C52" s="334">
        <v>8</v>
      </c>
      <c r="D52" s="334">
        <v>822784.38221851201</v>
      </c>
      <c r="E52" s="334">
        <v>23</v>
      </c>
      <c r="F52" s="334">
        <v>298866.80120666802</v>
      </c>
    </row>
    <row r="53" spans="1:6">
      <c r="A53" s="348" t="s">
        <v>44</v>
      </c>
      <c r="B53" s="348" t="s">
        <v>45</v>
      </c>
      <c r="C53" s="334">
        <v>247</v>
      </c>
      <c r="D53" s="334">
        <v>4671395.7096062601</v>
      </c>
      <c r="E53" s="334">
        <v>571</v>
      </c>
      <c r="F53" s="334">
        <v>2426180.8247676902</v>
      </c>
    </row>
    <row r="54" spans="1:6">
      <c r="A54" s="348" t="s">
        <v>46</v>
      </c>
      <c r="B54" s="348" t="s">
        <v>47</v>
      </c>
      <c r="C54" s="334">
        <v>0</v>
      </c>
      <c r="D54" s="334">
        <v>0</v>
      </c>
      <c r="E54" s="334">
        <v>3</v>
      </c>
      <c r="F54" s="334">
        <v>2858820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128</v>
      </c>
      <c r="D57" s="334">
        <v>7814115.0125333602</v>
      </c>
      <c r="E57" s="334">
        <v>199</v>
      </c>
      <c r="F57" s="334">
        <v>3991651.7547818399</v>
      </c>
    </row>
    <row r="58" spans="1:6">
      <c r="A58" s="348" t="s">
        <v>49</v>
      </c>
      <c r="B58" s="348" t="s">
        <v>51</v>
      </c>
      <c r="C58" s="334">
        <v>62</v>
      </c>
      <c r="D58" s="334">
        <v>1977487.68401896</v>
      </c>
      <c r="E58" s="334">
        <v>99</v>
      </c>
      <c r="F58" s="334">
        <v>965056.98851262499</v>
      </c>
    </row>
    <row r="59" spans="1:6">
      <c r="A59" s="348" t="s">
        <v>49</v>
      </c>
      <c r="B59" s="348" t="s">
        <v>52</v>
      </c>
      <c r="C59" s="334">
        <v>309</v>
      </c>
      <c r="D59" s="334">
        <v>17890763.696224</v>
      </c>
      <c r="E59" s="334">
        <v>665</v>
      </c>
      <c r="F59" s="334">
        <v>29511904.667261802</v>
      </c>
    </row>
    <row r="60" spans="1:6">
      <c r="A60" s="348" t="s">
        <v>49</v>
      </c>
      <c r="B60" s="348" t="s">
        <v>53</v>
      </c>
      <c r="C60" s="334">
        <v>128</v>
      </c>
      <c r="D60" s="334">
        <v>5687690.0019567199</v>
      </c>
      <c r="E60" s="334">
        <v>181</v>
      </c>
      <c r="F60" s="334">
        <v>5361356.0614790898</v>
      </c>
    </row>
    <row r="61" spans="1:6">
      <c r="A61" s="348" t="s">
        <v>49</v>
      </c>
      <c r="B61" s="348" t="s">
        <v>54</v>
      </c>
      <c r="C61" s="334">
        <v>450</v>
      </c>
      <c r="D61" s="334">
        <v>71436949.399456307</v>
      </c>
      <c r="E61" s="334">
        <v>1085</v>
      </c>
      <c r="F61" s="334">
        <v>13980462.8110801</v>
      </c>
    </row>
    <row r="62" spans="1:6">
      <c r="A62" s="348" t="s">
        <v>49</v>
      </c>
      <c r="B62" s="348" t="s">
        <v>55</v>
      </c>
      <c r="C62" s="334">
        <v>26</v>
      </c>
      <c r="D62" s="334">
        <v>5979435.1169117996</v>
      </c>
      <c r="E62" s="334">
        <v>30</v>
      </c>
      <c r="F62" s="334">
        <v>2118511.5039506201</v>
      </c>
    </row>
    <row r="63" spans="1:6">
      <c r="A63" s="348" t="s">
        <v>49</v>
      </c>
      <c r="B63" s="348" t="s">
        <v>29</v>
      </c>
      <c r="C63" s="334">
        <v>273</v>
      </c>
      <c r="D63" s="334">
        <v>18125478.7061643</v>
      </c>
      <c r="E63" s="334">
        <v>327</v>
      </c>
      <c r="F63" s="334">
        <v>18082043.794364601</v>
      </c>
    </row>
    <row r="64" spans="1:6">
      <c r="A64" s="348" t="s">
        <v>56</v>
      </c>
      <c r="B64" s="348" t="s">
        <v>57</v>
      </c>
      <c r="C64" s="334">
        <v>0</v>
      </c>
      <c r="D64" s="334">
        <v>0</v>
      </c>
      <c r="E64" s="334">
        <v>0</v>
      </c>
      <c r="F64" s="334">
        <v>0</v>
      </c>
    </row>
    <row r="65" spans="1:6">
      <c r="A65" s="348" t="s">
        <v>56</v>
      </c>
      <c r="B65" s="348" t="s">
        <v>29</v>
      </c>
      <c r="C65" s="334">
        <v>7</v>
      </c>
      <c r="D65" s="334">
        <v>233349.35856364301</v>
      </c>
      <c r="E65" s="334">
        <v>9</v>
      </c>
      <c r="F65" s="334">
        <v>130591.734225821</v>
      </c>
    </row>
    <row r="66" spans="1:6">
      <c r="A66" s="348" t="s">
        <v>56</v>
      </c>
      <c r="B66" s="348" t="s">
        <v>58</v>
      </c>
      <c r="C66" s="334">
        <v>0</v>
      </c>
      <c r="D66" s="334">
        <v>0</v>
      </c>
      <c r="E66" s="334">
        <v>19</v>
      </c>
      <c r="F66" s="334">
        <v>942657.85467468004</v>
      </c>
    </row>
    <row r="67" spans="1:6">
      <c r="A67" s="355" t="s">
        <v>56</v>
      </c>
      <c r="B67" s="355" t="s">
        <v>59</v>
      </c>
      <c r="C67" s="334">
        <v>0</v>
      </c>
      <c r="D67" s="334">
        <v>0</v>
      </c>
      <c r="E67" s="334">
        <v>0</v>
      </c>
      <c r="F67" s="334">
        <v>0</v>
      </c>
    </row>
    <row r="68" spans="1:6">
      <c r="A68" s="341" t="s">
        <v>56</v>
      </c>
      <c r="B68" s="341" t="s">
        <v>60</v>
      </c>
      <c r="C68" s="334">
        <v>8</v>
      </c>
      <c r="D68" s="334">
        <v>174165.755026528</v>
      </c>
      <c r="E68" s="334">
        <v>31</v>
      </c>
      <c r="F68" s="334">
        <v>194563.29638320699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87201051</v>
      </c>
      <c r="E73" s="475">
        <v>96167027.366195381</v>
      </c>
    </row>
    <row r="74" spans="1:6">
      <c r="A74" s="348" t="s">
        <v>64</v>
      </c>
      <c r="B74" s="348" t="s">
        <v>657</v>
      </c>
      <c r="C74" s="1295" t="s">
        <v>659</v>
      </c>
      <c r="D74" s="475">
        <v>9942917</v>
      </c>
      <c r="E74" s="475">
        <v>10604762.89954049</v>
      </c>
    </row>
    <row r="75" spans="1:6">
      <c r="A75" s="348" t="s">
        <v>65</v>
      </c>
      <c r="B75" s="348" t="s">
        <v>656</v>
      </c>
      <c r="C75" s="1295" t="s">
        <v>660</v>
      </c>
      <c r="D75" s="475">
        <v>32333782</v>
      </c>
      <c r="E75" s="475">
        <v>35396982.851065367</v>
      </c>
    </row>
    <row r="76" spans="1:6">
      <c r="A76" s="348" t="s">
        <v>65</v>
      </c>
      <c r="B76" s="348" t="s">
        <v>657</v>
      </c>
      <c r="C76" s="1295" t="s">
        <v>661</v>
      </c>
      <c r="D76" s="475">
        <v>2074569</v>
      </c>
      <c r="E76" s="475">
        <v>2161847.8433216871</v>
      </c>
    </row>
    <row r="77" spans="1:6">
      <c r="A77" s="348" t="s">
        <v>66</v>
      </c>
      <c r="B77" s="348" t="s">
        <v>656</v>
      </c>
      <c r="C77" s="1295" t="s">
        <v>662</v>
      </c>
      <c r="D77" s="475">
        <v>189515514</v>
      </c>
      <c r="E77" s="475">
        <v>205685150.72418639</v>
      </c>
    </row>
    <row r="78" spans="1:6">
      <c r="A78" s="341" t="s">
        <v>66</v>
      </c>
      <c r="B78" s="341" t="s">
        <v>657</v>
      </c>
      <c r="C78" s="341" t="s">
        <v>663</v>
      </c>
      <c r="D78" s="1296">
        <v>48516304</v>
      </c>
      <c r="E78" s="1296">
        <v>50350056.22741469</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545610</v>
      </c>
      <c r="C83" s="475">
        <v>545153.85835482844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6889.7925010185299</v>
      </c>
    </row>
    <row r="91" spans="1:6">
      <c r="A91" s="348" t="s">
        <v>68</v>
      </c>
      <c r="B91" s="334">
        <v>7451.9715285112206</v>
      </c>
    </row>
    <row r="92" spans="1:6">
      <c r="A92" s="341" t="s">
        <v>69</v>
      </c>
      <c r="B92" s="342">
        <v>27743.293045756978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5216</v>
      </c>
    </row>
    <row r="98" spans="1:6">
      <c r="A98" s="348" t="s">
        <v>72</v>
      </c>
      <c r="B98" s="334">
        <v>2</v>
      </c>
    </row>
    <row r="99" spans="1:6">
      <c r="A99" s="348" t="s">
        <v>73</v>
      </c>
      <c r="B99" s="334">
        <v>157</v>
      </c>
    </row>
    <row r="100" spans="1:6">
      <c r="A100" s="348" t="s">
        <v>74</v>
      </c>
      <c r="B100" s="334">
        <v>1363</v>
      </c>
    </row>
    <row r="101" spans="1:6">
      <c r="A101" s="348" t="s">
        <v>75</v>
      </c>
      <c r="B101" s="334">
        <v>179</v>
      </c>
    </row>
    <row r="102" spans="1:6">
      <c r="A102" s="348" t="s">
        <v>76</v>
      </c>
      <c r="B102" s="334">
        <v>330</v>
      </c>
    </row>
    <row r="103" spans="1:6">
      <c r="A103" s="348" t="s">
        <v>77</v>
      </c>
      <c r="B103" s="334">
        <v>222</v>
      </c>
    </row>
    <row r="104" spans="1:6">
      <c r="A104" s="348" t="s">
        <v>78</v>
      </c>
      <c r="B104" s="334">
        <v>6001</v>
      </c>
    </row>
    <row r="105" spans="1:6">
      <c r="A105" s="341" t="s">
        <v>79</v>
      </c>
      <c r="B105" s="341">
        <v>20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39</v>
      </c>
      <c r="C123" s="334">
        <v>44</v>
      </c>
    </row>
    <row r="124" spans="1:6">
      <c r="A124" s="341" t="s">
        <v>89</v>
      </c>
      <c r="B124" s="334">
        <v>4</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401</v>
      </c>
    </row>
    <row r="130" spans="1:6">
      <c r="A130" s="348" t="s">
        <v>295</v>
      </c>
      <c r="B130" s="334">
        <v>7</v>
      </c>
    </row>
    <row r="131" spans="1:6">
      <c r="A131" s="348" t="s">
        <v>296</v>
      </c>
      <c r="B131" s="334">
        <v>14</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379701.33145718998</v>
      </c>
      <c r="C3" s="43" t="s">
        <v>170</v>
      </c>
      <c r="D3" s="43"/>
      <c r="E3" s="154"/>
      <c r="F3" s="43"/>
      <c r="G3" s="43"/>
      <c r="H3" s="43"/>
      <c r="I3" s="43"/>
      <c r="J3" s="43"/>
      <c r="K3" s="96"/>
    </row>
    <row r="4" spans="1:11">
      <c r="A4" s="383" t="s">
        <v>171</v>
      </c>
      <c r="B4" s="49">
        <f>IF(ISERROR('SEAP template'!B78+'SEAP template'!C78),0,'SEAP template'!B78+'SEAP template'!C78)</f>
        <v>42085.057075286728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0.19650496444680757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2858.82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2858.82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0.19650496444680757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561.77232245982248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58255.993840960196</v>
      </c>
      <c r="C5" s="17">
        <f>IF(ISERROR('Eigen informatie GS &amp; warmtenet'!B57),0,'Eigen informatie GS &amp; warmtenet'!B57)</f>
        <v>0</v>
      </c>
      <c r="D5" s="30">
        <f>(SUM(HH_hh_gas_kWh,HH_rest_gas_kWh)/1000)*0.902</f>
        <v>132284.04506409442</v>
      </c>
      <c r="E5" s="17">
        <f>B46*B57</f>
        <v>8065.8048564729452</v>
      </c>
      <c r="F5" s="17">
        <f>B51*B62</f>
        <v>51766.217968330886</v>
      </c>
      <c r="G5" s="18"/>
      <c r="H5" s="17"/>
      <c r="I5" s="17"/>
      <c r="J5" s="17">
        <f>B50*B61+C50*C61</f>
        <v>0</v>
      </c>
      <c r="K5" s="17"/>
      <c r="L5" s="17"/>
      <c r="M5" s="17"/>
      <c r="N5" s="17">
        <f>B48*B59+C48*C59</f>
        <v>31339.622231345173</v>
      </c>
      <c r="O5" s="17">
        <f>B69*B70*B71</f>
        <v>698.81000000000006</v>
      </c>
      <c r="P5" s="17">
        <f>B77*B78*B79/1000-B77*B78*B79/1000/B80</f>
        <v>1334.6666666666667</v>
      </c>
    </row>
    <row r="6" spans="1:16">
      <c r="A6" s="16" t="s">
        <v>621</v>
      </c>
      <c r="B6" s="788">
        <f>kWh_PV_kleiner_dan_10kW</f>
        <v>7451.9715285112206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65707.965369471422</v>
      </c>
      <c r="C8" s="21">
        <f>C5</f>
        <v>0</v>
      </c>
      <c r="D8" s="21">
        <f>D5</f>
        <v>132284.04506409442</v>
      </c>
      <c r="E8" s="21">
        <f>E5</f>
        <v>8065.8048564729452</v>
      </c>
      <c r="F8" s="21">
        <f>F5</f>
        <v>51766.217968330886</v>
      </c>
      <c r="G8" s="21"/>
      <c r="H8" s="21"/>
      <c r="I8" s="21"/>
      <c r="J8" s="21">
        <f>J5</f>
        <v>0</v>
      </c>
      <c r="K8" s="21"/>
      <c r="L8" s="21">
        <f>L5</f>
        <v>0</v>
      </c>
      <c r="M8" s="21">
        <f>M5</f>
        <v>0</v>
      </c>
      <c r="N8" s="21">
        <f>N5</f>
        <v>31339.622231345173</v>
      </c>
      <c r="O8" s="21">
        <f>O5</f>
        <v>698.81000000000006</v>
      </c>
      <c r="P8" s="21">
        <f>P5</f>
        <v>1334.6666666666667</v>
      </c>
    </row>
    <row r="9" spans="1:16">
      <c r="B9" s="19"/>
      <c r="C9" s="19"/>
      <c r="D9" s="258"/>
      <c r="E9" s="19"/>
      <c r="F9" s="19"/>
      <c r="G9" s="19"/>
      <c r="H9" s="19"/>
      <c r="I9" s="19"/>
      <c r="J9" s="19"/>
      <c r="K9" s="19"/>
      <c r="L9" s="19"/>
      <c r="M9" s="19"/>
      <c r="N9" s="19"/>
      <c r="O9" s="19"/>
      <c r="P9" s="19"/>
    </row>
    <row r="10" spans="1:16">
      <c r="A10" s="24" t="s">
        <v>214</v>
      </c>
      <c r="B10" s="25">
        <f ca="1">'EF ele_warmte'!B12</f>
        <v>0.19650496444680757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12911.941398800045</v>
      </c>
      <c r="C12" s="23">
        <f ca="1">C10*C8</f>
        <v>0</v>
      </c>
      <c r="D12" s="23">
        <f>D8*D10</f>
        <v>26721.377102947074</v>
      </c>
      <c r="E12" s="23">
        <f>E10*E8</f>
        <v>1830.9377024193586</v>
      </c>
      <c r="F12" s="23">
        <f>F10*F8</f>
        <v>13821.580197544346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5216</v>
      </c>
      <c r="C18" s="166" t="s">
        <v>111</v>
      </c>
      <c r="D18" s="228"/>
      <c r="E18" s="15"/>
    </row>
    <row r="19" spans="1:7">
      <c r="A19" s="171" t="s">
        <v>72</v>
      </c>
      <c r="B19" s="37">
        <f>aantalw2001_ander</f>
        <v>2</v>
      </c>
      <c r="C19" s="166" t="s">
        <v>111</v>
      </c>
      <c r="D19" s="229"/>
      <c r="E19" s="15"/>
    </row>
    <row r="20" spans="1:7">
      <c r="A20" s="171" t="s">
        <v>73</v>
      </c>
      <c r="B20" s="37">
        <f>aantalw2001_propaan</f>
        <v>157</v>
      </c>
      <c r="C20" s="167">
        <f>IF(ISERROR(B20/SUM($B$20,$B$21,$B$22)*100),0,B20/SUM($B$20,$B$21,$B$22)*100)</f>
        <v>9.2407298410829899</v>
      </c>
      <c r="D20" s="229"/>
      <c r="E20" s="15"/>
    </row>
    <row r="21" spans="1:7">
      <c r="A21" s="171" t="s">
        <v>74</v>
      </c>
      <c r="B21" s="37">
        <f>aantalw2001_elektriciteit</f>
        <v>1363</v>
      </c>
      <c r="C21" s="167">
        <f>IF(ISERROR(B21/SUM($B$20,$B$21,$B$22)*100),0,B21/SUM($B$20,$B$21,$B$22)*100)</f>
        <v>80.223660977045313</v>
      </c>
      <c r="D21" s="229"/>
      <c r="E21" s="15"/>
    </row>
    <row r="22" spans="1:7">
      <c r="A22" s="171" t="s">
        <v>75</v>
      </c>
      <c r="B22" s="37">
        <f>aantalw2001_hout</f>
        <v>179</v>
      </c>
      <c r="C22" s="167">
        <f>IF(ISERROR(B22/SUM($B$20,$B$21,$B$22)*100),0,B22/SUM($B$20,$B$21,$B$22)*100)</f>
        <v>10.53560918187169</v>
      </c>
      <c r="D22" s="229"/>
      <c r="E22" s="15"/>
    </row>
    <row r="23" spans="1:7">
      <c r="A23" s="171" t="s">
        <v>76</v>
      </c>
      <c r="B23" s="37">
        <f>aantalw2001_niet_gespec</f>
        <v>330</v>
      </c>
      <c r="C23" s="166" t="s">
        <v>111</v>
      </c>
      <c r="D23" s="228"/>
      <c r="E23" s="15"/>
    </row>
    <row r="24" spans="1:7">
      <c r="A24" s="171" t="s">
        <v>77</v>
      </c>
      <c r="B24" s="37">
        <f>aantalw2001_steenkool</f>
        <v>222</v>
      </c>
      <c r="C24" s="166" t="s">
        <v>111</v>
      </c>
      <c r="D24" s="229"/>
      <c r="E24" s="15"/>
    </row>
    <row r="25" spans="1:7">
      <c r="A25" s="171" t="s">
        <v>78</v>
      </c>
      <c r="B25" s="37">
        <f>aantalw2001_stookolie</f>
        <v>6001</v>
      </c>
      <c r="C25" s="166" t="s">
        <v>111</v>
      </c>
      <c r="D25" s="228"/>
      <c r="E25" s="52"/>
    </row>
    <row r="26" spans="1:7">
      <c r="A26" s="171" t="s">
        <v>79</v>
      </c>
      <c r="B26" s="37">
        <f>aantalw2001_WP</f>
        <v>20</v>
      </c>
      <c r="C26" s="166" t="s">
        <v>111</v>
      </c>
      <c r="D26" s="228"/>
      <c r="E26" s="15"/>
    </row>
    <row r="27" spans="1:7" s="15" customFormat="1">
      <c r="A27" s="171"/>
      <c r="B27" s="29"/>
      <c r="C27" s="36"/>
      <c r="D27" s="228"/>
    </row>
    <row r="28" spans="1:7" s="15" customFormat="1">
      <c r="A28" s="230" t="s">
        <v>793</v>
      </c>
      <c r="B28" s="37">
        <f>aantalHuishoudens2011</f>
        <v>15854</v>
      </c>
      <c r="C28" s="36"/>
      <c r="D28" s="228"/>
    </row>
    <row r="29" spans="1:7" s="15" customFormat="1">
      <c r="A29" s="230" t="s">
        <v>794</v>
      </c>
      <c r="B29" s="37">
        <f>SUM(HH_hh_gas_aantal,HH_rest_gas_aantal)</f>
        <v>9662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9662</v>
      </c>
      <c r="C32" s="167">
        <f>IF(ISERROR(B32/SUM($B$32,$B$34,$B$35,$B$36,$B$38,$B$39)*100),0,B32/SUM($B$32,$B$34,$B$35,$B$36,$B$38,$B$39)*100)</f>
        <v>61.213887480993414</v>
      </c>
      <c r="D32" s="233"/>
      <c r="G32" s="15"/>
    </row>
    <row r="33" spans="1:7">
      <c r="A33" s="171" t="s">
        <v>72</v>
      </c>
      <c r="B33" s="34" t="s">
        <v>111</v>
      </c>
      <c r="C33" s="167"/>
      <c r="D33" s="233"/>
      <c r="G33" s="15"/>
    </row>
    <row r="34" spans="1:7">
      <c r="A34" s="171" t="s">
        <v>73</v>
      </c>
      <c r="B34" s="33">
        <f>IF((($B$28-$B$32-$B$39-$B$77-$B$38)*C20/100)&lt;0,0,($B$28-$B$32-$B$39-$B$77-$B$38)*C20/100)</f>
        <v>380.93984696880511</v>
      </c>
      <c r="C34" s="167">
        <f>IF(ISERROR(B34/SUM($B$32,$B$34,$B$35,$B$36,$B$38,$B$39)*100),0,B34/SUM($B$32,$B$34,$B$35,$B$36,$B$38,$B$39)*100)</f>
        <v>2.4134556954435196</v>
      </c>
      <c r="D34" s="233"/>
      <c r="G34" s="15"/>
    </row>
    <row r="35" spans="1:7">
      <c r="A35" s="171" t="s">
        <v>74</v>
      </c>
      <c r="B35" s="33">
        <f>IF((($B$28-$B$32-$B$39-$B$77-$B$38)*C21/100)&lt;0,0,($B$28-$B$32-$B$39-$B$77-$B$38)*C21/100)</f>
        <v>3307.1402001177157</v>
      </c>
      <c r="C35" s="167">
        <f>IF(ISERROR(B35/SUM($B$32,$B$34,$B$35,$B$36,$B$38,$B$39)*100),0,B35/SUM($B$32,$B$34,$B$35,$B$36,$B$38,$B$39)*100)</f>
        <v>20.952484795474628</v>
      </c>
      <c r="D35" s="233"/>
      <c r="G35" s="15"/>
    </row>
    <row r="36" spans="1:7">
      <c r="A36" s="171" t="s">
        <v>75</v>
      </c>
      <c r="B36" s="33">
        <f>IF((($B$28-$B$32-$B$39-$B$77-$B$38)*C22/100)&lt;0,0,($B$28-$B$32-$B$39-$B$77-$B$38)*C22/100)</f>
        <v>434.31995291347846</v>
      </c>
      <c r="C36" s="167">
        <f>IF(ISERROR(B36/SUM($B$32,$B$34,$B$35,$B$36,$B$38,$B$39)*100),0,B36/SUM($B$32,$B$34,$B$35,$B$36,$B$38,$B$39)*100)</f>
        <v>2.7516469393910192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1999.6</v>
      </c>
      <c r="C39" s="167">
        <f>IF(ISERROR(B39/SUM($B$32,$B$34,$B$35,$B$36,$B$38,$B$39)*100),0,B39/SUM($B$32,$B$34,$B$35,$B$36,$B$38,$B$39)*100)</f>
        <v>12.668525088697413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9662</v>
      </c>
      <c r="C44" s="34" t="s">
        <v>111</v>
      </c>
      <c r="D44" s="174"/>
    </row>
    <row r="45" spans="1:7">
      <c r="A45" s="171" t="s">
        <v>72</v>
      </c>
      <c r="B45" s="33" t="str">
        <f t="shared" si="0"/>
        <v>-</v>
      </c>
      <c r="C45" s="34" t="s">
        <v>111</v>
      </c>
      <c r="D45" s="174"/>
    </row>
    <row r="46" spans="1:7">
      <c r="A46" s="171" t="s">
        <v>73</v>
      </c>
      <c r="B46" s="33">
        <f t="shared" si="0"/>
        <v>380.93984696880511</v>
      </c>
      <c r="C46" s="34" t="s">
        <v>111</v>
      </c>
      <c r="D46" s="174"/>
    </row>
    <row r="47" spans="1:7">
      <c r="A47" s="171" t="s">
        <v>74</v>
      </c>
      <c r="B47" s="33">
        <f t="shared" si="0"/>
        <v>3307.1402001177157</v>
      </c>
      <c r="C47" s="34" t="s">
        <v>111</v>
      </c>
      <c r="D47" s="174"/>
    </row>
    <row r="48" spans="1:7">
      <c r="A48" s="171" t="s">
        <v>75</v>
      </c>
      <c r="B48" s="33">
        <f t="shared" si="0"/>
        <v>434.31995291347846</v>
      </c>
      <c r="C48" s="33">
        <f>B48*10</f>
        <v>4343.1995291347848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1999.6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447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74010.987581430672</v>
      </c>
      <c r="C5" s="17">
        <f>IF(ISERROR('Eigen informatie GS &amp; warmtenet'!B58),0,'Eigen informatie GS &amp; warmtenet'!B58)</f>
        <v>0</v>
      </c>
      <c r="D5" s="30">
        <f>SUM(D6:D12)</f>
        <v>116278.55149477343</v>
      </c>
      <c r="E5" s="17">
        <f>SUM(E6:E12)</f>
        <v>1408.5802493829674</v>
      </c>
      <c r="F5" s="17">
        <f>SUM(F6:F12)</f>
        <v>13149.873793748407</v>
      </c>
      <c r="G5" s="18"/>
      <c r="H5" s="17"/>
      <c r="I5" s="17"/>
      <c r="J5" s="17">
        <f>SUM(J6:J12)</f>
        <v>0.130429238129355</v>
      </c>
      <c r="K5" s="17"/>
      <c r="L5" s="17"/>
      <c r="M5" s="17"/>
      <c r="N5" s="17">
        <f>SUM(N6:N12)</f>
        <v>5217.1906698750572</v>
      </c>
      <c r="O5" s="17">
        <f>B38*B39*B40</f>
        <v>10.943333333333335</v>
      </c>
      <c r="P5" s="17">
        <f>B46*B47*B48/1000-B46*B47*B48/1000/B49</f>
        <v>286</v>
      </c>
      <c r="R5" s="32"/>
    </row>
    <row r="6" spans="1:18">
      <c r="A6" s="32" t="s">
        <v>54</v>
      </c>
      <c r="B6" s="37">
        <f>B26</f>
        <v>13980.4628110801</v>
      </c>
      <c r="C6" s="33"/>
      <c r="D6" s="37">
        <f>IF(ISERROR(TER_kantoor_gas_kWh/1000),0,TER_kantoor_gas_kWh/1000)*0.902</f>
        <v>64436.128358309594</v>
      </c>
      <c r="E6" s="33">
        <f>$C$26*'E Balans VL '!I12/100/3.6*1000000</f>
        <v>8.762489107076521E-2</v>
      </c>
      <c r="F6" s="33">
        <f>$C$26*('E Balans VL '!L12+'E Balans VL '!N12)/100/3.6*1000000</f>
        <v>2100.8729091165046</v>
      </c>
      <c r="G6" s="34"/>
      <c r="H6" s="33"/>
      <c r="I6" s="33"/>
      <c r="J6" s="33">
        <f>$C$26*('E Balans VL '!D12+'E Balans VL '!E12)/100/3.6*1000000</f>
        <v>0</v>
      </c>
      <c r="K6" s="33"/>
      <c r="L6" s="33"/>
      <c r="M6" s="33"/>
      <c r="N6" s="33">
        <f>$C$26*'E Balans VL '!Y12/100/3.6*1000000</f>
        <v>13.370239847705253</v>
      </c>
      <c r="O6" s="33"/>
      <c r="P6" s="33"/>
      <c r="R6" s="32"/>
    </row>
    <row r="7" spans="1:18">
      <c r="A7" s="32" t="s">
        <v>53</v>
      </c>
      <c r="B7" s="37">
        <f t="shared" ref="B7:B12" si="0">B27</f>
        <v>5361.3560614790895</v>
      </c>
      <c r="C7" s="33"/>
      <c r="D7" s="37">
        <f>IF(ISERROR(TER_horeca_gas_kWh/1000),0,TER_horeca_gas_kWh/1000)*0.902</f>
        <v>5130.2963817649616</v>
      </c>
      <c r="E7" s="33">
        <f>$C$27*'E Balans VL '!I9/100/3.6*1000000</f>
        <v>76.773725768938732</v>
      </c>
      <c r="F7" s="33">
        <f>$C$27*('E Balans VL '!L9+'E Balans VL '!N9)/100/3.6*1000000</f>
        <v>678.92450171847054</v>
      </c>
      <c r="G7" s="34"/>
      <c r="H7" s="33"/>
      <c r="I7" s="33"/>
      <c r="J7" s="33">
        <f>$C$27*('E Balans VL '!D9+'E Balans VL '!E9)/100/3.6*1000000</f>
        <v>0</v>
      </c>
      <c r="K7" s="33"/>
      <c r="L7" s="33"/>
      <c r="M7" s="33"/>
      <c r="N7" s="33">
        <f>$C$27*'E Balans VL '!Y9/100/3.6*1000000</f>
        <v>1.5412716599209966</v>
      </c>
      <c r="O7" s="33"/>
      <c r="P7" s="33"/>
      <c r="R7" s="32"/>
    </row>
    <row r="8" spans="1:18">
      <c r="A8" s="6" t="s">
        <v>52</v>
      </c>
      <c r="B8" s="37">
        <f t="shared" si="0"/>
        <v>29511.904667261802</v>
      </c>
      <c r="C8" s="33"/>
      <c r="D8" s="37">
        <f>IF(ISERROR(TER_handel_gas_kWh/1000),0,TER_handel_gas_kWh/1000)*0.902</f>
        <v>16137.468853994047</v>
      </c>
      <c r="E8" s="33">
        <f>$C$28*'E Balans VL '!I13/100/3.6*1000000</f>
        <v>1070.3931430365458</v>
      </c>
      <c r="F8" s="33">
        <f>$C$28*('E Balans VL '!L13+'E Balans VL '!N13)/100/3.6*1000000</f>
        <v>5684.291665948208</v>
      </c>
      <c r="G8" s="34"/>
      <c r="H8" s="33"/>
      <c r="I8" s="33"/>
      <c r="J8" s="33">
        <f>$C$28*('E Balans VL '!D13+'E Balans VL '!E13)/100/3.6*1000000</f>
        <v>0</v>
      </c>
      <c r="K8" s="33"/>
      <c r="L8" s="33"/>
      <c r="M8" s="33"/>
      <c r="N8" s="33">
        <f>$C$28*'E Balans VL '!Y13/100/3.6*1000000</f>
        <v>40.880778350579369</v>
      </c>
      <c r="O8" s="33"/>
      <c r="P8" s="33"/>
      <c r="R8" s="32"/>
    </row>
    <row r="9" spans="1:18">
      <c r="A9" s="32" t="s">
        <v>51</v>
      </c>
      <c r="B9" s="37">
        <f t="shared" si="0"/>
        <v>965.05698851262503</v>
      </c>
      <c r="C9" s="33"/>
      <c r="D9" s="37">
        <f>IF(ISERROR(TER_gezond_gas_kWh/1000),0,TER_gezond_gas_kWh/1000)*0.902</f>
        <v>1783.6938909851019</v>
      </c>
      <c r="E9" s="33">
        <f>$C$29*'E Balans VL '!I10/100/3.6*1000000</f>
        <v>6.0422095697280062E-2</v>
      </c>
      <c r="F9" s="33">
        <f>$C$29*('E Balans VL '!L10+'E Balans VL '!N10)/100/3.6*1000000</f>
        <v>143.36215396224975</v>
      </c>
      <c r="G9" s="34"/>
      <c r="H9" s="33"/>
      <c r="I9" s="33"/>
      <c r="J9" s="33">
        <f>$C$29*('E Balans VL '!D10+'E Balans VL '!E10)/100/3.6*1000000</f>
        <v>0</v>
      </c>
      <c r="K9" s="33"/>
      <c r="L9" s="33"/>
      <c r="M9" s="33"/>
      <c r="N9" s="33">
        <f>$C$29*'E Balans VL '!Y10/100/3.6*1000000</f>
        <v>14.927594618352755</v>
      </c>
      <c r="O9" s="33"/>
      <c r="P9" s="33"/>
      <c r="R9" s="32"/>
    </row>
    <row r="10" spans="1:18">
      <c r="A10" s="32" t="s">
        <v>50</v>
      </c>
      <c r="B10" s="37">
        <f t="shared" si="0"/>
        <v>3991.6517547818398</v>
      </c>
      <c r="C10" s="33"/>
      <c r="D10" s="37">
        <f>IF(ISERROR(TER_ander_gas_kWh/1000),0,TER_ander_gas_kWh/1000)*0.902</f>
        <v>7048.3317413050909</v>
      </c>
      <c r="E10" s="33">
        <f>$C$30*'E Balans VL '!I14/100/3.6*1000000</f>
        <v>4.7579062541677466</v>
      </c>
      <c r="F10" s="33">
        <f>$C$30*('E Balans VL '!L14+'E Balans VL '!N14)/100/3.6*1000000</f>
        <v>1044.3935539500817</v>
      </c>
      <c r="G10" s="34"/>
      <c r="H10" s="33"/>
      <c r="I10" s="33"/>
      <c r="J10" s="33">
        <f>$C$30*('E Balans VL '!D14+'E Balans VL '!E14)/100/3.6*1000000</f>
        <v>8.6643112753474999E-2</v>
      </c>
      <c r="K10" s="33"/>
      <c r="L10" s="33"/>
      <c r="M10" s="33"/>
      <c r="N10" s="33">
        <f>$C$30*'E Balans VL '!Y14/100/3.6*1000000</f>
        <v>3389.6129958171637</v>
      </c>
      <c r="O10" s="33"/>
      <c r="P10" s="33"/>
      <c r="R10" s="32"/>
    </row>
    <row r="11" spans="1:18">
      <c r="A11" s="32" t="s">
        <v>55</v>
      </c>
      <c r="B11" s="37">
        <f t="shared" si="0"/>
        <v>2118.51150395062</v>
      </c>
      <c r="C11" s="33"/>
      <c r="D11" s="37">
        <f>IF(ISERROR(TER_onderwijs_gas_kWh/1000),0,TER_onderwijs_gas_kWh/1000)*0.902</f>
        <v>5393.4504754544432</v>
      </c>
      <c r="E11" s="33">
        <f>$C$31*'E Balans VL '!I11/100/3.6*1000000</f>
        <v>31.964926407373902</v>
      </c>
      <c r="F11" s="33">
        <f>$C$31*('E Balans VL '!L11+'E Balans VL '!N11)/100/3.6*1000000</f>
        <v>371.19705972027867</v>
      </c>
      <c r="G11" s="34"/>
      <c r="H11" s="33"/>
      <c r="I11" s="33"/>
      <c r="J11" s="33">
        <f>$C$31*('E Balans VL '!D11+'E Balans VL '!E11)/100/3.6*1000000</f>
        <v>0</v>
      </c>
      <c r="K11" s="33"/>
      <c r="L11" s="33"/>
      <c r="M11" s="33"/>
      <c r="N11" s="33">
        <f>$C$31*'E Balans VL '!Y11/100/3.6*1000000</f>
        <v>5.9616524274948652</v>
      </c>
      <c r="O11" s="33"/>
      <c r="P11" s="33"/>
      <c r="R11" s="32"/>
    </row>
    <row r="12" spans="1:18">
      <c r="A12" s="32" t="s">
        <v>260</v>
      </c>
      <c r="B12" s="37">
        <f t="shared" si="0"/>
        <v>18082.043794364603</v>
      </c>
      <c r="C12" s="33"/>
      <c r="D12" s="37">
        <f>IF(ISERROR(TER_rest_gas_kWh/1000),0,TER_rest_gas_kWh/1000)*0.902</f>
        <v>16349.181792960198</v>
      </c>
      <c r="E12" s="33">
        <f>$C$32*'E Balans VL '!I8/100/3.6*1000000</f>
        <v>224.54250092917329</v>
      </c>
      <c r="F12" s="33">
        <f>$C$32*('E Balans VL '!L8+'E Balans VL '!N8)/100/3.6*1000000</f>
        <v>3126.8319493326153</v>
      </c>
      <c r="G12" s="34"/>
      <c r="H12" s="33"/>
      <c r="I12" s="33"/>
      <c r="J12" s="33">
        <f>$C$32*('E Balans VL '!D8+'E Balans VL '!E8)/100/3.6*1000000</f>
        <v>4.3786125375879996E-2</v>
      </c>
      <c r="K12" s="33"/>
      <c r="L12" s="33"/>
      <c r="M12" s="33"/>
      <c r="N12" s="33">
        <f>$C$32*'E Balans VL '!Y8/100/3.6*1000000</f>
        <v>1750.8961371538405</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74010.987581430672</v>
      </c>
      <c r="C16" s="21">
        <f t="shared" ca="1" si="1"/>
        <v>0</v>
      </c>
      <c r="D16" s="21">
        <f t="shared" ca="1" si="1"/>
        <v>116278.55149477343</v>
      </c>
      <c r="E16" s="21">
        <f t="shared" si="1"/>
        <v>1408.5802493829674</v>
      </c>
      <c r="F16" s="21">
        <f t="shared" ca="1" si="1"/>
        <v>13149.873793748407</v>
      </c>
      <c r="G16" s="21">
        <f t="shared" si="1"/>
        <v>0</v>
      </c>
      <c r="H16" s="21">
        <f t="shared" si="1"/>
        <v>0</v>
      </c>
      <c r="I16" s="21">
        <f t="shared" si="1"/>
        <v>0</v>
      </c>
      <c r="J16" s="21">
        <f t="shared" si="1"/>
        <v>0.130429238129355</v>
      </c>
      <c r="K16" s="21">
        <f t="shared" si="1"/>
        <v>0</v>
      </c>
      <c r="L16" s="21">
        <f t="shared" ca="1" si="1"/>
        <v>0</v>
      </c>
      <c r="M16" s="21">
        <f t="shared" si="1"/>
        <v>0</v>
      </c>
      <c r="N16" s="21">
        <f t="shared" ca="1" si="1"/>
        <v>5217.1906698750572</v>
      </c>
      <c r="O16" s="21">
        <f>O5</f>
        <v>10.943333333333335</v>
      </c>
      <c r="P16" s="21">
        <f>P5</f>
        <v>286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0.19650496444680757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14543.526483362151</v>
      </c>
      <c r="C20" s="23">
        <f t="shared" ref="C20:P20" ca="1" si="2">C16*C18</f>
        <v>0</v>
      </c>
      <c r="D20" s="23">
        <f t="shared" ca="1" si="2"/>
        <v>23488.267401944235</v>
      </c>
      <c r="E20" s="23">
        <f t="shared" si="2"/>
        <v>319.7477166099336</v>
      </c>
      <c r="F20" s="23">
        <f t="shared" ca="1" si="2"/>
        <v>3511.0163029308251</v>
      </c>
      <c r="G20" s="23">
        <f t="shared" si="2"/>
        <v>0</v>
      </c>
      <c r="H20" s="23">
        <f t="shared" si="2"/>
        <v>0</v>
      </c>
      <c r="I20" s="23">
        <f t="shared" si="2"/>
        <v>0</v>
      </c>
      <c r="J20" s="23">
        <f t="shared" si="2"/>
        <v>4.617195029779167E-2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13980.4628110801</v>
      </c>
      <c r="C26" s="39">
        <f>IF(ISERROR(B26*3.6/1000000/'E Balans VL '!Z12*100),0,B26*3.6/1000000/'E Balans VL '!Z12*100)</f>
        <v>0.29552483698422782</v>
      </c>
      <c r="D26" s="237" t="s">
        <v>754</v>
      </c>
      <c r="F26" s="6"/>
    </row>
    <row r="27" spans="1:18">
      <c r="A27" s="231" t="s">
        <v>53</v>
      </c>
      <c r="B27" s="33">
        <f>IF(ISERROR(TER_horeca_ele_kWh/1000),0,TER_horeca_ele_kWh/1000)</f>
        <v>5361.3560614790895</v>
      </c>
      <c r="C27" s="39">
        <f>IF(ISERROR(B27*3.6/1000000/'E Balans VL '!Z9*100),0,B27*3.6/1000000/'E Balans VL '!Z9*100)</f>
        <v>0.42263370004697665</v>
      </c>
      <c r="D27" s="237" t="s">
        <v>754</v>
      </c>
      <c r="F27" s="6"/>
    </row>
    <row r="28" spans="1:18">
      <c r="A28" s="171" t="s">
        <v>52</v>
      </c>
      <c r="B28" s="33">
        <f>IF(ISERROR(TER_handel_ele_kWh/1000),0,TER_handel_ele_kWh/1000)</f>
        <v>29511.904667261802</v>
      </c>
      <c r="C28" s="39">
        <f>IF(ISERROR(B28*3.6/1000000/'E Balans VL '!Z13*100),0,B28*3.6/1000000/'E Balans VL '!Z13*100)</f>
        <v>0.85655471490052626</v>
      </c>
      <c r="D28" s="237" t="s">
        <v>754</v>
      </c>
      <c r="F28" s="6"/>
    </row>
    <row r="29" spans="1:18">
      <c r="A29" s="231" t="s">
        <v>51</v>
      </c>
      <c r="B29" s="33">
        <f>IF(ISERROR(TER_gezond_ele_kWh/1000),0,TER_gezond_ele_kWh/1000)</f>
        <v>965.05698851262503</v>
      </c>
      <c r="C29" s="39">
        <f>IF(ISERROR(B29*3.6/1000000/'E Balans VL '!Z10*100),0,B29*3.6/1000000/'E Balans VL '!Z10*100)</f>
        <v>0.10163634754442119</v>
      </c>
      <c r="D29" s="237" t="s">
        <v>754</v>
      </c>
      <c r="F29" s="6"/>
    </row>
    <row r="30" spans="1:18">
      <c r="A30" s="231" t="s">
        <v>50</v>
      </c>
      <c r="B30" s="33">
        <f>IF(ISERROR(TER_ander_ele_kWh/1000),0,TER_ander_ele_kWh/1000)</f>
        <v>3991.6517547818398</v>
      </c>
      <c r="C30" s="39">
        <f>IF(ISERROR(B30*3.6/1000000/'E Balans VL '!Z14*100),0,B30*3.6/1000000/'E Balans VL '!Z14*100)</f>
        <v>0.29442510041515702</v>
      </c>
      <c r="D30" s="237" t="s">
        <v>754</v>
      </c>
      <c r="F30" s="6"/>
    </row>
    <row r="31" spans="1:18">
      <c r="A31" s="231" t="s">
        <v>55</v>
      </c>
      <c r="B31" s="33">
        <f>IF(ISERROR(TER_onderwijs_ele_kWh/1000),0,TER_onderwijs_ele_kWh/1000)</f>
        <v>2118.51150395062</v>
      </c>
      <c r="C31" s="39">
        <f>IF(ISERROR(B31*3.6/1000000/'E Balans VL '!Z11*100),0,B31*3.6/1000000/'E Balans VL '!Z11*100)</f>
        <v>0.52612564335405076</v>
      </c>
      <c r="D31" s="237" t="s">
        <v>754</v>
      </c>
    </row>
    <row r="32" spans="1:18">
      <c r="A32" s="231" t="s">
        <v>260</v>
      </c>
      <c r="B32" s="33">
        <f>IF(ISERROR(TER_rest_ele_kWh/1000),0,TER_rest_ele_kWh/1000)</f>
        <v>18082.043794364603</v>
      </c>
      <c r="C32" s="39">
        <f>IF(ISERROR(B32*3.6/1000000/'E Balans VL '!Z8*100),0,B32*3.6/1000000/'E Balans VL '!Z8*100)</f>
        <v>0.14879121895429676</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15</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233076.29238619894</v>
      </c>
      <c r="C5" s="17">
        <f>IF(ISERROR('Eigen informatie GS &amp; warmtenet'!B59),0,'Eigen informatie GS &amp; warmtenet'!B59)</f>
        <v>0</v>
      </c>
      <c r="D5" s="30">
        <f>SUM(D6:D15)</f>
        <v>220773.40258958581</v>
      </c>
      <c r="E5" s="17">
        <f>SUM(E6:E15)</f>
        <v>12549.050446013542</v>
      </c>
      <c r="F5" s="17">
        <f>SUM(F6:F15)</f>
        <v>48280.809309693301</v>
      </c>
      <c r="G5" s="18"/>
      <c r="H5" s="17"/>
      <c r="I5" s="17"/>
      <c r="J5" s="17">
        <f>SUM(J6:J15)</f>
        <v>488.31571544952698</v>
      </c>
      <c r="K5" s="17"/>
      <c r="L5" s="17"/>
      <c r="M5" s="17"/>
      <c r="N5" s="17">
        <f>SUM(N6:N15)</f>
        <v>43342.261414213033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6296.0566552469299</v>
      </c>
      <c r="C8" s="33"/>
      <c r="D8" s="37">
        <f>IF( ISERROR(IND_metaal_Gas_kWH/1000),0,IND_metaal_Gas_kWH/1000)*0.902</f>
        <v>8924.7450392404462</v>
      </c>
      <c r="E8" s="33">
        <f>C30*'E Balans VL '!I18/100/3.6*1000000</f>
        <v>57.886160155649414</v>
      </c>
      <c r="F8" s="33">
        <f>C30*'E Balans VL '!L18/100/3.6*1000000+C30*'E Balans VL '!N18/100/3.6*1000000</f>
        <v>590.36049731772084</v>
      </c>
      <c r="G8" s="34"/>
      <c r="H8" s="33"/>
      <c r="I8" s="33"/>
      <c r="J8" s="40">
        <f>C30*'E Balans VL '!D18/100/3.6*1000000+C30*'E Balans VL '!E18/100/3.6*1000000</f>
        <v>0</v>
      </c>
      <c r="K8" s="33"/>
      <c r="L8" s="33"/>
      <c r="M8" s="33"/>
      <c r="N8" s="33">
        <f>C30*'E Balans VL '!Y18/100/3.6*1000000</f>
        <v>89.823652858871867</v>
      </c>
      <c r="O8" s="33"/>
      <c r="P8" s="33"/>
      <c r="R8" s="32"/>
    </row>
    <row r="9" spans="1:18">
      <c r="A9" s="6" t="s">
        <v>33</v>
      </c>
      <c r="B9" s="37">
        <f t="shared" si="0"/>
        <v>16220.253522188099</v>
      </c>
      <c r="C9" s="33"/>
      <c r="D9" s="37">
        <f>IF( ISERROR(IND_andere_gas_kWh/1000),0,IND_andere_gas_kWh/1000)*0.902</f>
        <v>8132.8081223321333</v>
      </c>
      <c r="E9" s="33">
        <f>C31*'E Balans VL '!I19/100/3.6*1000000</f>
        <v>4741.4958756266724</v>
      </c>
      <c r="F9" s="33">
        <f>C31*'E Balans VL '!L19/100/3.6*1000000+C31*'E Balans VL '!N19/100/3.6*1000000</f>
        <v>13034.201465455872</v>
      </c>
      <c r="G9" s="34"/>
      <c r="H9" s="33"/>
      <c r="I9" s="33"/>
      <c r="J9" s="40">
        <f>C31*'E Balans VL '!D19/100/3.6*1000000+C31*'E Balans VL '!E19/100/3.6*1000000</f>
        <v>0</v>
      </c>
      <c r="K9" s="33"/>
      <c r="L9" s="33"/>
      <c r="M9" s="33"/>
      <c r="N9" s="33">
        <f>C31*'E Balans VL '!Y19/100/3.6*1000000</f>
        <v>5359.4233220275783</v>
      </c>
      <c r="O9" s="33"/>
      <c r="P9" s="33"/>
      <c r="R9" s="32"/>
    </row>
    <row r="10" spans="1:18">
      <c r="A10" s="6" t="s">
        <v>41</v>
      </c>
      <c r="B10" s="37">
        <f t="shared" si="0"/>
        <v>932.29492108014995</v>
      </c>
      <c r="C10" s="33"/>
      <c r="D10" s="37">
        <f>IF( ISERROR(IND_voed_gas_kWh/1000),0,IND_voed_gas_kWh/1000)*0.902</f>
        <v>907.05476204282945</v>
      </c>
      <c r="E10" s="33">
        <f>C32*'E Balans VL '!I20/100/3.6*1000000</f>
        <v>1.9722843609490168</v>
      </c>
      <c r="F10" s="33">
        <f>C32*'E Balans VL '!L20/100/3.6*1000000+C32*'E Balans VL '!N20/100/3.6*1000000</f>
        <v>59.276263393611721</v>
      </c>
      <c r="G10" s="34"/>
      <c r="H10" s="33"/>
      <c r="I10" s="33"/>
      <c r="J10" s="40">
        <f>C32*'E Balans VL '!D20/100/3.6*1000000+C32*'E Balans VL '!E20/100/3.6*1000000</f>
        <v>0</v>
      </c>
      <c r="K10" s="33"/>
      <c r="L10" s="33"/>
      <c r="M10" s="33"/>
      <c r="N10" s="33">
        <f>C32*'E Balans VL '!Y20/100/3.6*1000000</f>
        <v>64.337549665612428</v>
      </c>
      <c r="O10" s="33"/>
      <c r="P10" s="33"/>
      <c r="R10" s="32"/>
    </row>
    <row r="11" spans="1:18">
      <c r="A11" s="6" t="s">
        <v>40</v>
      </c>
      <c r="B11" s="37">
        <f t="shared" si="0"/>
        <v>71385.392291144395</v>
      </c>
      <c r="C11" s="33"/>
      <c r="D11" s="37">
        <f>IF( ISERROR(IND_textiel_gas_kWh/1000),0,IND_textiel_gas_kWh/1000)*0.902</f>
        <v>16090.373515820871</v>
      </c>
      <c r="E11" s="33">
        <f>C33*'E Balans VL '!I21/100/3.6*1000000</f>
        <v>212.00846050070649</v>
      </c>
      <c r="F11" s="33">
        <f>C33*'E Balans VL '!L21/100/3.6*1000000+C33*'E Balans VL '!N21/100/3.6*1000000</f>
        <v>7211.8844442900045</v>
      </c>
      <c r="G11" s="34"/>
      <c r="H11" s="33"/>
      <c r="I11" s="33"/>
      <c r="J11" s="40">
        <f>C33*'E Balans VL '!D21/100/3.6*1000000+C33*'E Balans VL '!E21/100/3.6*1000000</f>
        <v>0</v>
      </c>
      <c r="K11" s="33"/>
      <c r="L11" s="33"/>
      <c r="M11" s="33"/>
      <c r="N11" s="33">
        <f>C33*'E Balans VL '!Y21/100/3.6*1000000</f>
        <v>3937.1322009317819</v>
      </c>
      <c r="O11" s="33"/>
      <c r="P11" s="33"/>
      <c r="R11" s="32"/>
    </row>
    <row r="12" spans="1:18">
      <c r="A12" s="6" t="s">
        <v>37</v>
      </c>
      <c r="B12" s="37">
        <f t="shared" si="0"/>
        <v>1384.8835192900501</v>
      </c>
      <c r="C12" s="33"/>
      <c r="D12" s="37">
        <f>IF( ISERROR(IND_min_gas_kWh/1000),0,IND_min_gas_kWh/1000)*0.902</f>
        <v>0</v>
      </c>
      <c r="E12" s="33">
        <f>C34*'E Balans VL '!I22/100/3.6*1000000</f>
        <v>40.142070739025513</v>
      </c>
      <c r="F12" s="33">
        <f>C34*'E Balans VL '!L22/100/3.6*1000000+C34*'E Balans VL '!N22/100/3.6*1000000</f>
        <v>476.13860346446984</v>
      </c>
      <c r="G12" s="34"/>
      <c r="H12" s="33"/>
      <c r="I12" s="33"/>
      <c r="J12" s="40">
        <f>C34*'E Balans VL '!D22/100/3.6*1000000+C34*'E Balans VL '!E22/100/3.6*1000000</f>
        <v>2.2757809506170887</v>
      </c>
      <c r="K12" s="33"/>
      <c r="L12" s="33"/>
      <c r="M12" s="33"/>
      <c r="N12" s="33">
        <f>C34*'E Balans VL '!Y22/100/3.6*1000000</f>
        <v>303.1737605668597</v>
      </c>
      <c r="O12" s="33"/>
      <c r="P12" s="33"/>
      <c r="R12" s="32"/>
    </row>
    <row r="13" spans="1:18">
      <c r="A13" s="6" t="s">
        <v>39</v>
      </c>
      <c r="B13" s="37">
        <f t="shared" si="0"/>
        <v>1081.31360232666</v>
      </c>
      <c r="C13" s="33"/>
      <c r="D13" s="37">
        <f>IF( ISERROR(IND_papier_gas_kWh/1000),0,IND_papier_gas_kWh/1000)*0.902</f>
        <v>0</v>
      </c>
      <c r="E13" s="33">
        <f>C35*'E Balans VL '!I23/100/3.6*1000000</f>
        <v>1.5341367072004206</v>
      </c>
      <c r="F13" s="33">
        <f>C35*'E Balans VL '!L23/100/3.6*1000000+C35*'E Balans VL '!N23/100/3.6*1000000</f>
        <v>26.39893103409155</v>
      </c>
      <c r="G13" s="34"/>
      <c r="H13" s="33"/>
      <c r="I13" s="33"/>
      <c r="J13" s="40">
        <f>C35*'E Balans VL '!D23/100/3.6*1000000+C35*'E Balans VL '!E23/100/3.6*1000000</f>
        <v>0.16723530059055305</v>
      </c>
      <c r="K13" s="33"/>
      <c r="L13" s="33"/>
      <c r="M13" s="33"/>
      <c r="N13" s="33">
        <f>C35*'E Balans VL '!Y23/100/3.6*1000000</f>
        <v>3143.1226774526076</v>
      </c>
      <c r="O13" s="33"/>
      <c r="P13" s="33"/>
      <c r="R13" s="32"/>
    </row>
    <row r="14" spans="1:18">
      <c r="A14" s="6" t="s">
        <v>34</v>
      </c>
      <c r="B14" s="37">
        <f t="shared" si="0"/>
        <v>56.745923247686001</v>
      </c>
      <c r="C14" s="33"/>
      <c r="D14" s="37">
        <f>IF( ISERROR(IND_chemie_gas_kWh/1000),0,IND_chemie_gas_kWh/1000)*0.902</f>
        <v>194.06494603428894</v>
      </c>
      <c r="E14" s="33">
        <f>C36*'E Balans VL '!I24/100/3.6*1000000</f>
        <v>0.13969220426163126</v>
      </c>
      <c r="F14" s="33">
        <f>C36*'E Balans VL '!L24/100/3.6*1000000+C36*'E Balans VL '!N24/100/3.6*1000000</f>
        <v>0.60763268470211873</v>
      </c>
      <c r="G14" s="34"/>
      <c r="H14" s="33"/>
      <c r="I14" s="33"/>
      <c r="J14" s="40">
        <f>C36*'E Balans VL '!D24/100/3.6*1000000+C36*'E Balans VL '!E24/100/3.6*1000000</f>
        <v>0</v>
      </c>
      <c r="K14" s="33"/>
      <c r="L14" s="33"/>
      <c r="M14" s="33"/>
      <c r="N14" s="33">
        <f>C36*'E Balans VL '!Y24/100/3.6*1000000</f>
        <v>1.2672765447498489</v>
      </c>
      <c r="O14" s="33"/>
      <c r="P14" s="33"/>
      <c r="R14" s="32"/>
    </row>
    <row r="15" spans="1:18">
      <c r="A15" s="6" t="s">
        <v>270</v>
      </c>
      <c r="B15" s="37">
        <f t="shared" si="0"/>
        <v>135719.35195167499</v>
      </c>
      <c r="C15" s="33"/>
      <c r="D15" s="37">
        <f>IF( ISERROR(IND_rest_gas_kWh/1000),0,IND_rest_gas_kWh/1000)*0.902</f>
        <v>186524.35620411523</v>
      </c>
      <c r="E15" s="33">
        <f>C37*'E Balans VL '!I15/100/3.6*1000000</f>
        <v>7493.8717657190773</v>
      </c>
      <c r="F15" s="33">
        <f>C37*'E Balans VL '!L15/100/3.6*1000000+C37*'E Balans VL '!N15/100/3.6*1000000</f>
        <v>26881.941472052829</v>
      </c>
      <c r="G15" s="34"/>
      <c r="H15" s="33"/>
      <c r="I15" s="33"/>
      <c r="J15" s="40">
        <f>C37*'E Balans VL '!D15/100/3.6*1000000+C37*'E Balans VL '!E15/100/3.6*1000000</f>
        <v>485.87269919831931</v>
      </c>
      <c r="K15" s="33"/>
      <c r="L15" s="33"/>
      <c r="M15" s="33"/>
      <c r="N15" s="33">
        <f>C37*'E Balans VL '!Y15/100/3.6*1000000</f>
        <v>30443.980974164966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233076.29238619894</v>
      </c>
      <c r="C18" s="21">
        <f>C5+C16</f>
        <v>0</v>
      </c>
      <c r="D18" s="21">
        <f>MAX((D5+D16),0)</f>
        <v>220773.40258958581</v>
      </c>
      <c r="E18" s="21">
        <f>MAX((E5+E16),0)</f>
        <v>12549.050446013542</v>
      </c>
      <c r="F18" s="21">
        <f>MAX((F5+F16),0)</f>
        <v>48280.809309693301</v>
      </c>
      <c r="G18" s="21"/>
      <c r="H18" s="21"/>
      <c r="I18" s="21"/>
      <c r="J18" s="21">
        <f>MAX((J5+J16),0)</f>
        <v>488.31571544952698</v>
      </c>
      <c r="K18" s="21"/>
      <c r="L18" s="21">
        <f>MAX((L5+L16),0)</f>
        <v>0</v>
      </c>
      <c r="M18" s="21"/>
      <c r="N18" s="21">
        <f>MAX((N5+N16),0)</f>
        <v>43342.261414213033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0.19650496444680757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45800.648548743746</v>
      </c>
      <c r="C22" s="23">
        <f ca="1">C18*C20</f>
        <v>0</v>
      </c>
      <c r="D22" s="23">
        <f>D18*D20</f>
        <v>44596.227323096333</v>
      </c>
      <c r="E22" s="23">
        <f>E18*E20</f>
        <v>2848.6344512450742</v>
      </c>
      <c r="F22" s="23">
        <f>F18*F20</f>
        <v>12890.976085688111</v>
      </c>
      <c r="G22" s="23"/>
      <c r="H22" s="23"/>
      <c r="I22" s="23"/>
      <c r="J22" s="23">
        <f>J18*J20</f>
        <v>172.86376326913253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6296.0566552469299</v>
      </c>
      <c r="C30" s="39">
        <f>IF(ISERROR(B30*3.6/1000000/'E Balans VL '!Z18*100),0,B30*3.6/1000000/'E Balans VL '!Z18*100)</f>
        <v>0.35681367479801285</v>
      </c>
      <c r="D30" s="237" t="s">
        <v>754</v>
      </c>
    </row>
    <row r="31" spans="1:18">
      <c r="A31" s="6" t="s">
        <v>33</v>
      </c>
      <c r="B31" s="37">
        <f>IF( ISERROR(IND_ander_ele_kWh/1000),0,IND_ander_ele_kWh/1000)</f>
        <v>16220.253522188099</v>
      </c>
      <c r="C31" s="39">
        <f>IF(ISERROR(B31*3.6/1000000/'E Balans VL '!Z19*100),0,B31*3.6/1000000/'E Balans VL '!Z19*100)</f>
        <v>0.73568315980629806</v>
      </c>
      <c r="D31" s="237" t="s">
        <v>754</v>
      </c>
    </row>
    <row r="32" spans="1:18">
      <c r="A32" s="171" t="s">
        <v>41</v>
      </c>
      <c r="B32" s="37">
        <f>IF( ISERROR(IND_voed_ele_kWh/1000),0,IND_voed_ele_kWh/1000)</f>
        <v>932.29492108014995</v>
      </c>
      <c r="C32" s="39">
        <f>IF(ISERROR(B32*3.6/1000000/'E Balans VL '!Z20*100),0,B32*3.6/1000000/'E Balans VL '!Z20*100)</f>
        <v>2.8840114170597647E-2</v>
      </c>
      <c r="D32" s="237" t="s">
        <v>754</v>
      </c>
    </row>
    <row r="33" spans="1:5">
      <c r="A33" s="171" t="s">
        <v>40</v>
      </c>
      <c r="B33" s="37">
        <f>IF( ISERROR(IND_textiel_ele_kWh/1000),0,IND_textiel_ele_kWh/1000)</f>
        <v>71385.392291144395</v>
      </c>
      <c r="C33" s="39">
        <f>IF(ISERROR(B33*3.6/1000000/'E Balans VL '!Z21*100),0,B33*3.6/1000000/'E Balans VL '!Z21*100)</f>
        <v>9.3078616657253441</v>
      </c>
      <c r="D33" s="237" t="s">
        <v>754</v>
      </c>
    </row>
    <row r="34" spans="1:5">
      <c r="A34" s="171" t="s">
        <v>37</v>
      </c>
      <c r="B34" s="37">
        <f>IF( ISERROR(IND_min_ele_kWh/1000),0,IND_min_ele_kWh/1000)</f>
        <v>1384.8835192900501</v>
      </c>
      <c r="C34" s="39">
        <f>IF(ISERROR(B34*3.6/1000000/'E Balans VL '!Z22*100),0,B34*3.6/1000000/'E Balans VL '!Z22*100)</f>
        <v>0.24909733725209954</v>
      </c>
      <c r="D34" s="237" t="s">
        <v>754</v>
      </c>
    </row>
    <row r="35" spans="1:5">
      <c r="A35" s="171" t="s">
        <v>39</v>
      </c>
      <c r="B35" s="37">
        <f>IF( ISERROR(IND_papier_ele_kWh/1000),0,IND_papier_ele_kWh/1000)</f>
        <v>1081.31360232666</v>
      </c>
      <c r="C35" s="39">
        <f>IF(ISERROR(B35*3.6/1000000/'E Balans VL '!Z22*100),0,B35*3.6/1000000/'E Balans VL '!Z22*100)</f>
        <v>0.19449458046271506</v>
      </c>
      <c r="D35" s="237" t="s">
        <v>754</v>
      </c>
    </row>
    <row r="36" spans="1:5">
      <c r="A36" s="171" t="s">
        <v>34</v>
      </c>
      <c r="B36" s="37">
        <f>IF( ISERROR(IND_chemie_ele_kWh/1000),0,IND_chemie_ele_kWh/1000)</f>
        <v>56.745923247686001</v>
      </c>
      <c r="C36" s="39">
        <f>IF(ISERROR(B36*3.6/1000000/'E Balans VL '!Z24*100),0,B36*3.6/1000000/'E Balans VL '!Z24*100)</f>
        <v>1.7304115946638913E-3</v>
      </c>
      <c r="D36" s="237" t="s">
        <v>754</v>
      </c>
    </row>
    <row r="37" spans="1:5">
      <c r="A37" s="171" t="s">
        <v>270</v>
      </c>
      <c r="B37" s="37">
        <f>IF( ISERROR(IND_rest_ele_kWh/1000),0,IND_rest_ele_kWh/1000)</f>
        <v>135719.35195167499</v>
      </c>
      <c r="C37" s="39">
        <f>IF(ISERROR(B37*3.6/1000000/'E Balans VL '!Z15*100),0,B37*3.6/1000000/'E Balans VL '!Z15*100)</f>
        <v>1.0757425434332168</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1499.5038647821777</v>
      </c>
      <c r="C5" s="17">
        <f>'Eigen informatie GS &amp; warmtenet'!B60</f>
        <v>0</v>
      </c>
      <c r="D5" s="30">
        <f>IF(ISERROR(SUM(LB_lb_gas_kWh,LB_rest_gas_kWh)/1000),0,SUM(LB_lb_gas_kWh,LB_rest_gas_kWh)/1000)*0.902</f>
        <v>1677.7303490661623</v>
      </c>
      <c r="E5" s="17">
        <f>B17*'E Balans VL '!I25/3.6*1000000/100</f>
        <v>44.074998599383271</v>
      </c>
      <c r="F5" s="17">
        <f>B17*('E Balans VL '!L25/3.6*1000000+'E Balans VL '!N25/3.6*1000000)/100</f>
        <v>6246.8520717467209</v>
      </c>
      <c r="G5" s="18"/>
      <c r="H5" s="17"/>
      <c r="I5" s="17"/>
      <c r="J5" s="17">
        <f>('E Balans VL '!D25+'E Balans VL '!E25)/3.6*1000000*landbouw!B17/100</f>
        <v>217.24590779282624</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1499.5038647821777</v>
      </c>
      <c r="C8" s="21">
        <f>C5+C6</f>
        <v>0</v>
      </c>
      <c r="D8" s="21">
        <f>MAX((D5+D6),0)</f>
        <v>1677.7303490661623</v>
      </c>
      <c r="E8" s="21">
        <f>MAX((E5+E6),0)</f>
        <v>44.074998599383271</v>
      </c>
      <c r="F8" s="21">
        <f>MAX((F5+F6),0)</f>
        <v>6246.8520717467209</v>
      </c>
      <c r="G8" s="21"/>
      <c r="H8" s="21"/>
      <c r="I8" s="21"/>
      <c r="J8" s="21">
        <f>MAX((J5+J6),0)</f>
        <v>217.24590779282624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0.19650496444680757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294.65995363687239</v>
      </c>
      <c r="C12" s="23">
        <f ca="1">C8*C10</f>
        <v>0</v>
      </c>
      <c r="D12" s="23">
        <f>D8*D10</f>
        <v>338.9015305113648</v>
      </c>
      <c r="E12" s="23">
        <f>E8*E10</f>
        <v>10.005024682060002</v>
      </c>
      <c r="F12" s="23">
        <f>F8*F10</f>
        <v>1667.9095031563745</v>
      </c>
      <c r="G12" s="23"/>
      <c r="H12" s="23"/>
      <c r="I12" s="23"/>
      <c r="J12" s="23">
        <f>J8*J10</f>
        <v>76.905051358660486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0.21278430296249265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254.12897964875933</v>
      </c>
      <c r="C26" s="247">
        <f>B26*'GWP N2O_CH4'!B5</f>
        <v>5336.7085726239457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60.184854974215241</v>
      </c>
      <c r="C27" s="247">
        <f>B27*'GWP N2O_CH4'!B5</f>
        <v>1263.8819544585201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3.1772989962926883</v>
      </c>
      <c r="C28" s="247">
        <f>B28*'GWP N2O_CH4'!B4</f>
        <v>984.96268885073334</v>
      </c>
      <c r="D28" s="50"/>
    </row>
    <row r="29" spans="1:4">
      <c r="A29" s="41" t="s">
        <v>277</v>
      </c>
      <c r="B29" s="247">
        <f>B34*'ha_N2O bodem landbouw'!B4</f>
        <v>10.755531042879172</v>
      </c>
      <c r="C29" s="247">
        <f>B29*'GWP N2O_CH4'!B4</f>
        <v>3334.2146232925434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2.4543751187761304E-3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4.3769314994067951E-4</v>
      </c>
      <c r="C5" s="463" t="s">
        <v>211</v>
      </c>
      <c r="D5" s="448">
        <f>SUM(D6:D11)</f>
        <v>1.4567565459291799E-3</v>
      </c>
      <c r="E5" s="448">
        <f>SUM(E6:E11)</f>
        <v>2.2477833619513072E-3</v>
      </c>
      <c r="F5" s="461" t="s">
        <v>211</v>
      </c>
      <c r="G5" s="448">
        <f>SUM(G6:G11)</f>
        <v>1.0877097921483245</v>
      </c>
      <c r="H5" s="448">
        <f>SUM(H6:H11)</f>
        <v>0.16907704945331678</v>
      </c>
      <c r="I5" s="463" t="s">
        <v>211</v>
      </c>
      <c r="J5" s="463" t="s">
        <v>211</v>
      </c>
      <c r="K5" s="463" t="s">
        <v>211</v>
      </c>
      <c r="L5" s="463" t="s">
        <v>211</v>
      </c>
      <c r="M5" s="448">
        <f>SUM(M6:M11)</f>
        <v>6.8538413134299384E-2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1.2349865664550716E-4</v>
      </c>
      <c r="C6" s="449"/>
      <c r="D6" s="892">
        <f>vkm_2011_GW_PW*SUMIFS(TableVerdeelsleutelVkm[CNG],TableVerdeelsleutelVkm[Voertuigtype],"Lichte voertuigen")*SUMIFS(TableECFTransport[EnergieConsumptieFactor (PJ per km)],TableECFTransport[Index],CONCATENATE($A6,"_CNG_CNG"))</f>
        <v>3.7042508815508378E-4</v>
      </c>
      <c r="E6" s="892">
        <f>vkm_2011_GW_PW*SUMIFS(TableVerdeelsleutelVkm[LPG],TableVerdeelsleutelVkm[Voertuigtype],"Lichte voertuigen")*SUMIFS(TableECFTransport[EnergieConsumptieFactor (PJ per km)],TableECFTransport[Index],CONCATENATE($A6,"_LPG_LPG"))</f>
        <v>5.0605387936150127E-4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0.13084233533249706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4.2131591468100457E-2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8.8872734335288753E-3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9.330482120177909E-2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2.8437413538701722E-5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5.4524189584333445E-3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4.5792781113024425E-5</v>
      </c>
      <c r="C8" s="449"/>
      <c r="D8" s="451">
        <f>vkm_2011_NGW_PW*SUMIFS(TableVerdeelsleutelVkm[CNG],TableVerdeelsleutelVkm[Voertuigtype],"Lichte voertuigen")*SUMIFS(TableECFTransport[EnergieConsumptieFactor (PJ per km)],TableECFTransport[Index],CONCATENATE($A8,"_CNG_CNG"))</f>
        <v>2.4421350254448158E-4</v>
      </c>
      <c r="E8" s="451">
        <f>vkm_2011_NGW_PW*SUMIFS(TableVerdeelsleutelVkm[LPG],TableVerdeelsleutelVkm[Voertuigtype],"Lichte voertuigen")*SUMIFS(TableECFTransport[EnergieConsumptieFactor (PJ per km)],TableECFTransport[Index],CONCATENATE($A8,"_LPG_LPG"))</f>
        <v>3.0897990879502738E-4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7.4447200955273241E-2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2.6992650700148096E-2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5.1457900637931374E-3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2.496253739051503E-2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7.1623442127803425E-6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1.4587133216608114E-3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2.6840171218214792E-4</v>
      </c>
      <c r="C10" s="449"/>
      <c r="D10" s="451">
        <f>vkm_2011_SW_PW*SUMIFS(TableVerdeelsleutelVkm[CNG],TableVerdeelsleutelVkm[Voertuigtype],"Lichte voertuigen")*SUMIFS(TableECFTransport[EnergieConsumptieFactor (PJ per km)],TableECFTransport[Index],CONCATENATE($A10,"_CNG_CNG"))</f>
        <v>8.4211795522961467E-4</v>
      </c>
      <c r="E10" s="451">
        <f>vkm_2011_SW_PW*SUMIFS(TableVerdeelsleutelVkm[LPG],TableVerdeelsleutelVkm[Voertuigtype],"Lichte voertuigen")*SUMIFS(TableECFTransport[EnergieConsumptieFactor (PJ per km)],TableECFTransport[Index],CONCATENATE($A10,"_LPG_LPG"))</f>
        <v>1.4327495737947783E-3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0.33025202293694889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9.9774398368556477E-2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2.2238202596841821E-2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0.4339008743313113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1.4280915876026373E-4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2.5356014760041384E-2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121.58143053907763</v>
      </c>
      <c r="C14" s="21"/>
      <c r="D14" s="21">
        <f t="shared" ref="D14:M14" si="0">((D5)*10^9/3600)+D12</f>
        <v>404.65459609143886</v>
      </c>
      <c r="E14" s="21">
        <f t="shared" si="0"/>
        <v>624.38426720869654</v>
      </c>
      <c r="F14" s="21"/>
      <c r="G14" s="21">
        <f t="shared" si="0"/>
        <v>302141.60893009015</v>
      </c>
      <c r="H14" s="21">
        <f t="shared" si="0"/>
        <v>46965.847070365773</v>
      </c>
      <c r="I14" s="21"/>
      <c r="J14" s="21"/>
      <c r="K14" s="21"/>
      <c r="L14" s="21"/>
      <c r="M14" s="21">
        <f t="shared" si="0"/>
        <v>19038.448092860941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0.19650496444680757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23.891354685473452</v>
      </c>
      <c r="C18" s="23"/>
      <c r="D18" s="23">
        <f t="shared" ref="D18:M18" si="1">D14*D16</f>
        <v>81.74022841047065</v>
      </c>
      <c r="E18" s="23">
        <f t="shared" si="1"/>
        <v>141.73522865637412</v>
      </c>
      <c r="F18" s="23"/>
      <c r="G18" s="23">
        <f t="shared" si="1"/>
        <v>80671.809584334071</v>
      </c>
      <c r="H18" s="23">
        <f t="shared" si="1"/>
        <v>11694.495920521078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6.8529471730368625E-3</v>
      </c>
      <c r="H50" s="321">
        <f t="shared" si="2"/>
        <v>0</v>
      </c>
      <c r="I50" s="321">
        <f t="shared" si="2"/>
        <v>0</v>
      </c>
      <c r="J50" s="321">
        <f t="shared" si="2"/>
        <v>0</v>
      </c>
      <c r="K50" s="321">
        <f t="shared" si="2"/>
        <v>0</v>
      </c>
      <c r="L50" s="321">
        <f t="shared" si="2"/>
        <v>0</v>
      </c>
      <c r="M50" s="321">
        <f t="shared" si="2"/>
        <v>3.8921714656973895E-4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6.8529471730368625E-3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3.8921714656973895E-4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1903.5964369546839</v>
      </c>
      <c r="H54" s="21">
        <f t="shared" si="3"/>
        <v>0</v>
      </c>
      <c r="I54" s="21">
        <f t="shared" si="3"/>
        <v>0</v>
      </c>
      <c r="J54" s="21">
        <f t="shared" si="3"/>
        <v>0</v>
      </c>
      <c r="K54" s="21">
        <f t="shared" si="3"/>
        <v>0</v>
      </c>
      <c r="L54" s="21">
        <f t="shared" si="3"/>
        <v>0</v>
      </c>
      <c r="M54" s="21">
        <f t="shared" si="3"/>
        <v>108.11587404714972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0.19650496444680757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508.26024866690062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76869.807581430679</v>
      </c>
      <c r="D10" s="1013">
        <f ca="1">tertiair!C16</f>
        <v>0</v>
      </c>
      <c r="E10" s="1013">
        <f ca="1">tertiair!D16</f>
        <v>116278.55149477343</v>
      </c>
      <c r="F10" s="1013">
        <f>tertiair!E16</f>
        <v>1408.5802493829674</v>
      </c>
      <c r="G10" s="1013">
        <f ca="1">tertiair!F16</f>
        <v>13149.873793748407</v>
      </c>
      <c r="H10" s="1013">
        <f>tertiair!G16</f>
        <v>0</v>
      </c>
      <c r="I10" s="1013">
        <f>tertiair!H16</f>
        <v>0</v>
      </c>
      <c r="J10" s="1013">
        <f>tertiair!I16</f>
        <v>0</v>
      </c>
      <c r="K10" s="1013">
        <f>tertiair!J16</f>
        <v>0.130429238129355</v>
      </c>
      <c r="L10" s="1013">
        <f>tertiair!K16</f>
        <v>0</v>
      </c>
      <c r="M10" s="1013">
        <f ca="1">tertiair!L16</f>
        <v>0</v>
      </c>
      <c r="N10" s="1013">
        <f>tertiair!M16</f>
        <v>0</v>
      </c>
      <c r="O10" s="1013">
        <f ca="1">tertiair!N16</f>
        <v>5217.1906698750572</v>
      </c>
      <c r="P10" s="1013">
        <f>tertiair!O16</f>
        <v>10.943333333333335</v>
      </c>
      <c r="Q10" s="1014">
        <f>tertiair!P16</f>
        <v>286</v>
      </c>
      <c r="R10" s="700">
        <f ca="1">SUM(C10:Q10)</f>
        <v>213221.07755178204</v>
      </c>
      <c r="S10" s="67"/>
    </row>
    <row r="11" spans="1:19" s="473" customFormat="1">
      <c r="A11" s="809" t="s">
        <v>225</v>
      </c>
      <c r="B11" s="814"/>
      <c r="C11" s="1013">
        <f>huishoudens!B8</f>
        <v>65707.965369471422</v>
      </c>
      <c r="D11" s="1013">
        <f>huishoudens!C8</f>
        <v>0</v>
      </c>
      <c r="E11" s="1013">
        <f>huishoudens!D8</f>
        <v>132284.04506409442</v>
      </c>
      <c r="F11" s="1013">
        <f>huishoudens!E8</f>
        <v>8065.8048564729452</v>
      </c>
      <c r="G11" s="1013">
        <f>huishoudens!F8</f>
        <v>51766.217968330886</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31339.622231345173</v>
      </c>
      <c r="P11" s="1013">
        <f>huishoudens!O8</f>
        <v>698.81000000000006</v>
      </c>
      <c r="Q11" s="1014">
        <f>huishoudens!P8</f>
        <v>1334.6666666666667</v>
      </c>
      <c r="R11" s="700">
        <f>SUM(C11:Q11)</f>
        <v>291197.1321563815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233076.29238619894</v>
      </c>
      <c r="D13" s="1013">
        <f>industrie!C18</f>
        <v>0</v>
      </c>
      <c r="E13" s="1013">
        <f>industrie!D18</f>
        <v>220773.40258958581</v>
      </c>
      <c r="F13" s="1013">
        <f>industrie!E18</f>
        <v>12549.050446013542</v>
      </c>
      <c r="G13" s="1013">
        <f>industrie!F18</f>
        <v>48280.809309693301</v>
      </c>
      <c r="H13" s="1013">
        <f>industrie!G18</f>
        <v>0</v>
      </c>
      <c r="I13" s="1013">
        <f>industrie!H18</f>
        <v>0</v>
      </c>
      <c r="J13" s="1013">
        <f>industrie!I18</f>
        <v>0</v>
      </c>
      <c r="K13" s="1013">
        <f>industrie!J18</f>
        <v>488.31571544952698</v>
      </c>
      <c r="L13" s="1013">
        <f>industrie!K18</f>
        <v>0</v>
      </c>
      <c r="M13" s="1013">
        <f>industrie!L18</f>
        <v>0</v>
      </c>
      <c r="N13" s="1013">
        <f>industrie!M18</f>
        <v>0</v>
      </c>
      <c r="O13" s="1013">
        <f>industrie!N18</f>
        <v>43342.261414213033</v>
      </c>
      <c r="P13" s="1013">
        <f>industrie!O18</f>
        <v>0</v>
      </c>
      <c r="Q13" s="1014">
        <f>industrie!P18</f>
        <v>0</v>
      </c>
      <c r="R13" s="700">
        <f>SUM(C13:Q13)</f>
        <v>558510.13186115411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375654.06533710106</v>
      </c>
      <c r="D16" s="732">
        <f t="shared" ref="D16:R16" ca="1" si="0">SUM(D9:D15)</f>
        <v>0</v>
      </c>
      <c r="E16" s="732">
        <f t="shared" ca="1" si="0"/>
        <v>469335.99914845364</v>
      </c>
      <c r="F16" s="732">
        <f t="shared" si="0"/>
        <v>22023.435551869454</v>
      </c>
      <c r="G16" s="732">
        <f t="shared" ca="1" si="0"/>
        <v>113196.90107177259</v>
      </c>
      <c r="H16" s="732">
        <f t="shared" si="0"/>
        <v>0</v>
      </c>
      <c r="I16" s="732">
        <f t="shared" si="0"/>
        <v>0</v>
      </c>
      <c r="J16" s="732">
        <f t="shared" si="0"/>
        <v>0</v>
      </c>
      <c r="K16" s="732">
        <f t="shared" si="0"/>
        <v>488.44614468765633</v>
      </c>
      <c r="L16" s="732">
        <f t="shared" si="0"/>
        <v>0</v>
      </c>
      <c r="M16" s="732">
        <f t="shared" ca="1" si="0"/>
        <v>0</v>
      </c>
      <c r="N16" s="732">
        <f t="shared" si="0"/>
        <v>0</v>
      </c>
      <c r="O16" s="732">
        <f t="shared" ca="1" si="0"/>
        <v>79899.074315433259</v>
      </c>
      <c r="P16" s="732">
        <f t="shared" si="0"/>
        <v>709.75333333333344</v>
      </c>
      <c r="Q16" s="732">
        <f t="shared" si="0"/>
        <v>1620.6666666666667</v>
      </c>
      <c r="R16" s="732">
        <f t="shared" ca="1" si="0"/>
        <v>1062928.3415693175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1903.5964369546839</v>
      </c>
      <c r="I19" s="1013">
        <f>transport!H54</f>
        <v>0</v>
      </c>
      <c r="J19" s="1013">
        <f>transport!I54</f>
        <v>0</v>
      </c>
      <c r="K19" s="1013">
        <f>transport!J54</f>
        <v>0</v>
      </c>
      <c r="L19" s="1013">
        <f>transport!K54</f>
        <v>0</v>
      </c>
      <c r="M19" s="1013">
        <f>transport!L54</f>
        <v>0</v>
      </c>
      <c r="N19" s="1013">
        <f>transport!M54</f>
        <v>108.11587404714972</v>
      </c>
      <c r="O19" s="1013">
        <f>transport!N54</f>
        <v>0</v>
      </c>
      <c r="P19" s="1013">
        <f>transport!O54</f>
        <v>0</v>
      </c>
      <c r="Q19" s="1014">
        <f>transport!P54</f>
        <v>0</v>
      </c>
      <c r="R19" s="700">
        <f>SUM(C19:Q19)</f>
        <v>2011.7123110018335</v>
      </c>
      <c r="S19" s="67"/>
    </row>
    <row r="20" spans="1:19" s="473" customFormat="1">
      <c r="A20" s="809" t="s">
        <v>307</v>
      </c>
      <c r="B20" s="814"/>
      <c r="C20" s="1013">
        <f>transport!B14</f>
        <v>121.58143053907763</v>
      </c>
      <c r="D20" s="1013">
        <f>transport!C14</f>
        <v>0</v>
      </c>
      <c r="E20" s="1013">
        <f>transport!D14</f>
        <v>404.65459609143886</v>
      </c>
      <c r="F20" s="1013">
        <f>transport!E14</f>
        <v>624.38426720869654</v>
      </c>
      <c r="G20" s="1013">
        <f>transport!F14</f>
        <v>0</v>
      </c>
      <c r="H20" s="1013">
        <f>transport!G14</f>
        <v>302141.60893009015</v>
      </c>
      <c r="I20" s="1013">
        <f>transport!H14</f>
        <v>46965.847070365773</v>
      </c>
      <c r="J20" s="1013">
        <f>transport!I14</f>
        <v>0</v>
      </c>
      <c r="K20" s="1013">
        <f>transport!J14</f>
        <v>0</v>
      </c>
      <c r="L20" s="1013">
        <f>transport!K14</f>
        <v>0</v>
      </c>
      <c r="M20" s="1013">
        <f>transport!L14</f>
        <v>0</v>
      </c>
      <c r="N20" s="1013">
        <f>transport!M14</f>
        <v>19038.448092860941</v>
      </c>
      <c r="O20" s="1013">
        <f>transport!N14</f>
        <v>0</v>
      </c>
      <c r="P20" s="1013">
        <f>transport!O14</f>
        <v>0</v>
      </c>
      <c r="Q20" s="1014">
        <f>transport!P14</f>
        <v>0</v>
      </c>
      <c r="R20" s="700">
        <f>SUM(C20:Q20)</f>
        <v>369296.52438715607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121.58143053907763</v>
      </c>
      <c r="D22" s="812">
        <f t="shared" ref="D22:R22" si="1">SUM(D18:D21)</f>
        <v>0</v>
      </c>
      <c r="E22" s="812">
        <f t="shared" si="1"/>
        <v>404.65459609143886</v>
      </c>
      <c r="F22" s="812">
        <f t="shared" si="1"/>
        <v>624.38426720869654</v>
      </c>
      <c r="G22" s="812">
        <f t="shared" si="1"/>
        <v>0</v>
      </c>
      <c r="H22" s="812">
        <f t="shared" si="1"/>
        <v>304045.20536704484</v>
      </c>
      <c r="I22" s="812">
        <f t="shared" si="1"/>
        <v>46965.847070365773</v>
      </c>
      <c r="J22" s="812">
        <f t="shared" si="1"/>
        <v>0</v>
      </c>
      <c r="K22" s="812">
        <f t="shared" si="1"/>
        <v>0</v>
      </c>
      <c r="L22" s="812">
        <f t="shared" si="1"/>
        <v>0</v>
      </c>
      <c r="M22" s="812">
        <f t="shared" si="1"/>
        <v>0</v>
      </c>
      <c r="N22" s="812">
        <f t="shared" si="1"/>
        <v>19146.563966908092</v>
      </c>
      <c r="O22" s="812">
        <f t="shared" si="1"/>
        <v>0</v>
      </c>
      <c r="P22" s="812">
        <f t="shared" si="1"/>
        <v>0</v>
      </c>
      <c r="Q22" s="812">
        <f t="shared" si="1"/>
        <v>0</v>
      </c>
      <c r="R22" s="812">
        <f t="shared" si="1"/>
        <v>371308.23669815791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1499.5038647821777</v>
      </c>
      <c r="D24" s="1013">
        <f>+landbouw!C8</f>
        <v>0</v>
      </c>
      <c r="E24" s="1013">
        <f>+landbouw!D8</f>
        <v>1677.7303490661623</v>
      </c>
      <c r="F24" s="1013">
        <f>+landbouw!E8</f>
        <v>44.074998599383271</v>
      </c>
      <c r="G24" s="1013">
        <f>+landbouw!F8</f>
        <v>6246.8520717467209</v>
      </c>
      <c r="H24" s="1013">
        <f>+landbouw!G8</f>
        <v>0</v>
      </c>
      <c r="I24" s="1013">
        <f>+landbouw!H8</f>
        <v>0</v>
      </c>
      <c r="J24" s="1013">
        <f>+landbouw!I8</f>
        <v>0</v>
      </c>
      <c r="K24" s="1013">
        <f>+landbouw!J8</f>
        <v>217.24590779282624</v>
      </c>
      <c r="L24" s="1013">
        <f>+landbouw!K8</f>
        <v>0</v>
      </c>
      <c r="M24" s="1013">
        <f>+landbouw!L8</f>
        <v>0</v>
      </c>
      <c r="N24" s="1013">
        <f>+landbouw!M8</f>
        <v>0</v>
      </c>
      <c r="O24" s="1013">
        <f>+landbouw!N8</f>
        <v>0</v>
      </c>
      <c r="P24" s="1013">
        <f>+landbouw!O8</f>
        <v>0</v>
      </c>
      <c r="Q24" s="1014">
        <f>+landbouw!P8</f>
        <v>0</v>
      </c>
      <c r="R24" s="700">
        <f>SUM(C24:Q24)</f>
        <v>9685.4071919872713</v>
      </c>
      <c r="S24" s="67"/>
    </row>
    <row r="25" spans="1:19" s="473" customFormat="1" ht="15" thickBot="1">
      <c r="A25" s="831" t="s">
        <v>836</v>
      </c>
      <c r="B25" s="1016"/>
      <c r="C25" s="1017">
        <f>IF(Onbekend_ele_kWh="---",0,Onbekend_ele_kWh)/1000+IF(REST_rest_ele_kWh="---",0,REST_rest_ele_kWh)/1000</f>
        <v>2426.18082476769</v>
      </c>
      <c r="D25" s="1017"/>
      <c r="E25" s="1017">
        <f>IF(onbekend_gas_kWh="---",0,onbekend_gas_kWh)/1000+IF(REST_rest_gas_kWh="---",0,REST_rest_gas_kWh)/1000</f>
        <v>4671.3957096062604</v>
      </c>
      <c r="F25" s="1017"/>
      <c r="G25" s="1017"/>
      <c r="H25" s="1017"/>
      <c r="I25" s="1017"/>
      <c r="J25" s="1017"/>
      <c r="K25" s="1017"/>
      <c r="L25" s="1017"/>
      <c r="M25" s="1017"/>
      <c r="N25" s="1017"/>
      <c r="O25" s="1017"/>
      <c r="P25" s="1017"/>
      <c r="Q25" s="1018"/>
      <c r="R25" s="700">
        <f>SUM(C25:Q25)</f>
        <v>7097.5765343739504</v>
      </c>
      <c r="S25" s="67"/>
    </row>
    <row r="26" spans="1:19" s="473" customFormat="1" ht="15.75" thickBot="1">
      <c r="A26" s="705" t="s">
        <v>837</v>
      </c>
      <c r="B26" s="817"/>
      <c r="C26" s="812">
        <f>SUM(C24:C25)</f>
        <v>3925.6846895498675</v>
      </c>
      <c r="D26" s="812">
        <f t="shared" ref="D26:R26" si="2">SUM(D24:D25)</f>
        <v>0</v>
      </c>
      <c r="E26" s="812">
        <f t="shared" si="2"/>
        <v>6349.1260586724229</v>
      </c>
      <c r="F26" s="812">
        <f t="shared" si="2"/>
        <v>44.074998599383271</v>
      </c>
      <c r="G26" s="812">
        <f t="shared" si="2"/>
        <v>6246.8520717467209</v>
      </c>
      <c r="H26" s="812">
        <f t="shared" si="2"/>
        <v>0</v>
      </c>
      <c r="I26" s="812">
        <f t="shared" si="2"/>
        <v>0</v>
      </c>
      <c r="J26" s="812">
        <f t="shared" si="2"/>
        <v>0</v>
      </c>
      <c r="K26" s="812">
        <f t="shared" si="2"/>
        <v>217.24590779282624</v>
      </c>
      <c r="L26" s="812">
        <f t="shared" si="2"/>
        <v>0</v>
      </c>
      <c r="M26" s="812">
        <f t="shared" si="2"/>
        <v>0</v>
      </c>
      <c r="N26" s="812">
        <f t="shared" si="2"/>
        <v>0</v>
      </c>
      <c r="O26" s="812">
        <f t="shared" si="2"/>
        <v>0</v>
      </c>
      <c r="P26" s="812">
        <f t="shared" si="2"/>
        <v>0</v>
      </c>
      <c r="Q26" s="812">
        <f t="shared" si="2"/>
        <v>0</v>
      </c>
      <c r="R26" s="812">
        <f t="shared" si="2"/>
        <v>16782.983726361221</v>
      </c>
      <c r="S26" s="67"/>
    </row>
    <row r="27" spans="1:19" s="473" customFormat="1" ht="17.25" thickTop="1" thickBot="1">
      <c r="A27" s="706" t="s">
        <v>116</v>
      </c>
      <c r="B27" s="805"/>
      <c r="C27" s="707">
        <f ca="1">C22+C16+C26</f>
        <v>379701.33145718998</v>
      </c>
      <c r="D27" s="707">
        <f t="shared" ref="D27:R27" ca="1" si="3">D22+D16+D26</f>
        <v>0</v>
      </c>
      <c r="E27" s="707">
        <f t="shared" ca="1" si="3"/>
        <v>476089.77980321751</v>
      </c>
      <c r="F27" s="707">
        <f t="shared" si="3"/>
        <v>22691.894817677534</v>
      </c>
      <c r="G27" s="707">
        <f t="shared" ca="1" si="3"/>
        <v>119443.75314351931</v>
      </c>
      <c r="H27" s="707">
        <f t="shared" si="3"/>
        <v>304045.20536704484</v>
      </c>
      <c r="I27" s="707">
        <f t="shared" si="3"/>
        <v>46965.847070365773</v>
      </c>
      <c r="J27" s="707">
        <f t="shared" si="3"/>
        <v>0</v>
      </c>
      <c r="K27" s="707">
        <f t="shared" si="3"/>
        <v>705.69205248048252</v>
      </c>
      <c r="L27" s="707">
        <f t="shared" si="3"/>
        <v>0</v>
      </c>
      <c r="M27" s="707">
        <f t="shared" ca="1" si="3"/>
        <v>0</v>
      </c>
      <c r="N27" s="707">
        <f t="shared" si="3"/>
        <v>19146.563966908092</v>
      </c>
      <c r="O27" s="707">
        <f t="shared" ca="1" si="3"/>
        <v>79899.074315433259</v>
      </c>
      <c r="P27" s="707">
        <f t="shared" si="3"/>
        <v>709.75333333333344</v>
      </c>
      <c r="Q27" s="707">
        <f t="shared" si="3"/>
        <v>1620.6666666666667</v>
      </c>
      <c r="R27" s="707">
        <f t="shared" ca="1" si="3"/>
        <v>1451019.5619938367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15105.298805821974</v>
      </c>
      <c r="D40" s="1013">
        <f ca="1">tertiair!C20</f>
        <v>0</v>
      </c>
      <c r="E40" s="1013">
        <f ca="1">tertiair!D20</f>
        <v>23488.267401944235</v>
      </c>
      <c r="F40" s="1013">
        <f>tertiair!E20</f>
        <v>319.7477166099336</v>
      </c>
      <c r="G40" s="1013">
        <f ca="1">tertiair!F20</f>
        <v>3511.0163029308251</v>
      </c>
      <c r="H40" s="1013">
        <f>tertiair!G20</f>
        <v>0</v>
      </c>
      <c r="I40" s="1013">
        <f>tertiair!H20</f>
        <v>0</v>
      </c>
      <c r="J40" s="1013">
        <f>tertiair!I20</f>
        <v>0</v>
      </c>
      <c r="K40" s="1013">
        <f>tertiair!J20</f>
        <v>4.617195029779167E-2</v>
      </c>
      <c r="L40" s="1013">
        <f>tertiair!K20</f>
        <v>0</v>
      </c>
      <c r="M40" s="1013">
        <f ca="1">tertiair!L20</f>
        <v>0</v>
      </c>
      <c r="N40" s="1013">
        <f>tertiair!M20</f>
        <v>0</v>
      </c>
      <c r="O40" s="1013">
        <f ca="1">tertiair!N20</f>
        <v>0</v>
      </c>
      <c r="P40" s="1013">
        <f>tertiair!O20</f>
        <v>0</v>
      </c>
      <c r="Q40" s="774">
        <f>tertiair!P20</f>
        <v>0</v>
      </c>
      <c r="R40" s="850">
        <f t="shared" ca="1" si="4"/>
        <v>42424.376399257271</v>
      </c>
    </row>
    <row r="41" spans="1:18">
      <c r="A41" s="822" t="s">
        <v>225</v>
      </c>
      <c r="B41" s="829"/>
      <c r="C41" s="1013">
        <f ca="1">huishoudens!B12</f>
        <v>12911.941398800045</v>
      </c>
      <c r="D41" s="1013">
        <f ca="1">huishoudens!C12</f>
        <v>0</v>
      </c>
      <c r="E41" s="1013">
        <f>huishoudens!D12</f>
        <v>26721.377102947074</v>
      </c>
      <c r="F41" s="1013">
        <f>huishoudens!E12</f>
        <v>1830.9377024193586</v>
      </c>
      <c r="G41" s="1013">
        <f>huishoudens!F12</f>
        <v>13821.580197544346</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55285.836401710825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45800.648548743746</v>
      </c>
      <c r="D43" s="1013">
        <f ca="1">industrie!C22</f>
        <v>0</v>
      </c>
      <c r="E43" s="1013">
        <f>industrie!D22</f>
        <v>44596.227323096333</v>
      </c>
      <c r="F43" s="1013">
        <f>industrie!E22</f>
        <v>2848.6344512450742</v>
      </c>
      <c r="G43" s="1013">
        <f>industrie!F22</f>
        <v>12890.976085688111</v>
      </c>
      <c r="H43" s="1013">
        <f>industrie!G22</f>
        <v>0</v>
      </c>
      <c r="I43" s="1013">
        <f>industrie!H22</f>
        <v>0</v>
      </c>
      <c r="J43" s="1013">
        <f>industrie!I22</f>
        <v>0</v>
      </c>
      <c r="K43" s="1013">
        <f>industrie!J22</f>
        <v>172.86376326913253</v>
      </c>
      <c r="L43" s="1013">
        <f>industrie!K22</f>
        <v>0</v>
      </c>
      <c r="M43" s="1013">
        <f>industrie!L22</f>
        <v>0</v>
      </c>
      <c r="N43" s="1013">
        <f>industrie!M22</f>
        <v>0</v>
      </c>
      <c r="O43" s="1013">
        <f>industrie!N22</f>
        <v>0</v>
      </c>
      <c r="P43" s="1013">
        <f>industrie!O22</f>
        <v>0</v>
      </c>
      <c r="Q43" s="774">
        <f>industrie!P22</f>
        <v>0</v>
      </c>
      <c r="R43" s="849">
        <f t="shared" ca="1" si="4"/>
        <v>106309.3501720424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73817.888753365769</v>
      </c>
      <c r="D46" s="732">
        <f t="shared" ref="D46:Q46" ca="1" si="5">SUM(D39:D45)</f>
        <v>0</v>
      </c>
      <c r="E46" s="732">
        <f t="shared" ca="1" si="5"/>
        <v>94805.871827987634</v>
      </c>
      <c r="F46" s="732">
        <f t="shared" si="5"/>
        <v>4999.3198702743666</v>
      </c>
      <c r="G46" s="732">
        <f t="shared" ca="1" si="5"/>
        <v>30223.572586163282</v>
      </c>
      <c r="H46" s="732">
        <f t="shared" si="5"/>
        <v>0</v>
      </c>
      <c r="I46" s="732">
        <f t="shared" si="5"/>
        <v>0</v>
      </c>
      <c r="J46" s="732">
        <f t="shared" si="5"/>
        <v>0</v>
      </c>
      <c r="K46" s="732">
        <f t="shared" si="5"/>
        <v>172.90993521943034</v>
      </c>
      <c r="L46" s="732">
        <f t="shared" si="5"/>
        <v>0</v>
      </c>
      <c r="M46" s="732">
        <f t="shared" ca="1" si="5"/>
        <v>0</v>
      </c>
      <c r="N46" s="732">
        <f t="shared" si="5"/>
        <v>0</v>
      </c>
      <c r="O46" s="732">
        <f t="shared" ca="1" si="5"/>
        <v>0</v>
      </c>
      <c r="P46" s="732">
        <f t="shared" si="5"/>
        <v>0</v>
      </c>
      <c r="Q46" s="732">
        <f t="shared" si="5"/>
        <v>0</v>
      </c>
      <c r="R46" s="732">
        <f ca="1">SUM(R39:R45)</f>
        <v>204019.56297301047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508.26024866690062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508.26024866690062</v>
      </c>
    </row>
    <row r="50" spans="1:18">
      <c r="A50" s="825" t="s">
        <v>307</v>
      </c>
      <c r="B50" s="835"/>
      <c r="C50" s="703">
        <f ca="1">transport!B18</f>
        <v>23.891354685473452</v>
      </c>
      <c r="D50" s="703">
        <f>transport!C18</f>
        <v>0</v>
      </c>
      <c r="E50" s="703">
        <f>transport!D18</f>
        <v>81.74022841047065</v>
      </c>
      <c r="F50" s="703">
        <f>transport!E18</f>
        <v>141.73522865637412</v>
      </c>
      <c r="G50" s="703">
        <f>transport!F18</f>
        <v>0</v>
      </c>
      <c r="H50" s="703">
        <f>transport!G18</f>
        <v>80671.809584334071</v>
      </c>
      <c r="I50" s="703">
        <f>transport!H18</f>
        <v>11694.495920521078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92613.672316607466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23.891354685473452</v>
      </c>
      <c r="D52" s="732">
        <f t="shared" ref="D52:Q52" ca="1" si="6">SUM(D48:D51)</f>
        <v>0</v>
      </c>
      <c r="E52" s="732">
        <f t="shared" si="6"/>
        <v>81.74022841047065</v>
      </c>
      <c r="F52" s="732">
        <f t="shared" si="6"/>
        <v>141.73522865637412</v>
      </c>
      <c r="G52" s="732">
        <f t="shared" si="6"/>
        <v>0</v>
      </c>
      <c r="H52" s="732">
        <f t="shared" si="6"/>
        <v>81180.069833000976</v>
      </c>
      <c r="I52" s="732">
        <f t="shared" si="6"/>
        <v>11694.495920521078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93121.932565274372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294.65995363687239</v>
      </c>
      <c r="D54" s="703">
        <f ca="1">+landbouw!C12</f>
        <v>0</v>
      </c>
      <c r="E54" s="703">
        <f>+landbouw!D12</f>
        <v>338.9015305113648</v>
      </c>
      <c r="F54" s="703">
        <f>+landbouw!E12</f>
        <v>10.005024682060002</v>
      </c>
      <c r="G54" s="703">
        <f>+landbouw!F12</f>
        <v>1667.9095031563745</v>
      </c>
      <c r="H54" s="703">
        <f>+landbouw!G12</f>
        <v>0</v>
      </c>
      <c r="I54" s="703">
        <f>+landbouw!H12</f>
        <v>0</v>
      </c>
      <c r="J54" s="703">
        <f>+landbouw!I12</f>
        <v>0</v>
      </c>
      <c r="K54" s="703">
        <f>+landbouw!J12</f>
        <v>76.905051358660486</v>
      </c>
      <c r="L54" s="703">
        <f>+landbouw!K12</f>
        <v>0</v>
      </c>
      <c r="M54" s="703">
        <f>+landbouw!L12</f>
        <v>0</v>
      </c>
      <c r="N54" s="703">
        <f>+landbouw!M12</f>
        <v>0</v>
      </c>
      <c r="O54" s="703">
        <f>+landbouw!N12</f>
        <v>0</v>
      </c>
      <c r="P54" s="703">
        <f>+landbouw!O12</f>
        <v>0</v>
      </c>
      <c r="Q54" s="704">
        <f>+landbouw!P12</f>
        <v>0</v>
      </c>
      <c r="R54" s="731">
        <f ca="1">SUM(C54:Q54)</f>
        <v>2388.3810633453322</v>
      </c>
    </row>
    <row r="55" spans="1:18" ht="15" thickBot="1">
      <c r="A55" s="825" t="s">
        <v>836</v>
      </c>
      <c r="B55" s="835"/>
      <c r="C55" s="703">
        <f ca="1">C25*'EF ele_warmte'!B12</f>
        <v>476.75657671250116</v>
      </c>
      <c r="D55" s="703"/>
      <c r="E55" s="703">
        <f>E25*EF_CO2_aardgas</f>
        <v>943.62193334046469</v>
      </c>
      <c r="F55" s="703"/>
      <c r="G55" s="703"/>
      <c r="H55" s="703"/>
      <c r="I55" s="703"/>
      <c r="J55" s="703"/>
      <c r="K55" s="703"/>
      <c r="L55" s="703"/>
      <c r="M55" s="703"/>
      <c r="N55" s="703"/>
      <c r="O55" s="703"/>
      <c r="P55" s="703"/>
      <c r="Q55" s="704"/>
      <c r="R55" s="731">
        <f ca="1">SUM(C55:Q55)</f>
        <v>1420.3785100529658</v>
      </c>
    </row>
    <row r="56" spans="1:18" ht="15.75" thickBot="1">
      <c r="A56" s="823" t="s">
        <v>837</v>
      </c>
      <c r="B56" s="836"/>
      <c r="C56" s="732">
        <f ca="1">SUM(C54:C55)</f>
        <v>771.41653034937349</v>
      </c>
      <c r="D56" s="732">
        <f t="shared" ref="D56:Q56" ca="1" si="7">SUM(D54:D55)</f>
        <v>0</v>
      </c>
      <c r="E56" s="732">
        <f t="shared" si="7"/>
        <v>1282.5234638518295</v>
      </c>
      <c r="F56" s="732">
        <f t="shared" si="7"/>
        <v>10.005024682060002</v>
      </c>
      <c r="G56" s="732">
        <f t="shared" si="7"/>
        <v>1667.9095031563745</v>
      </c>
      <c r="H56" s="732">
        <f t="shared" si="7"/>
        <v>0</v>
      </c>
      <c r="I56" s="732">
        <f t="shared" si="7"/>
        <v>0</v>
      </c>
      <c r="J56" s="732">
        <f t="shared" si="7"/>
        <v>0</v>
      </c>
      <c r="K56" s="732">
        <f t="shared" si="7"/>
        <v>76.905051358660486</v>
      </c>
      <c r="L56" s="732">
        <f t="shared" si="7"/>
        <v>0</v>
      </c>
      <c r="M56" s="732">
        <f t="shared" si="7"/>
        <v>0</v>
      </c>
      <c r="N56" s="732">
        <f t="shared" si="7"/>
        <v>0</v>
      </c>
      <c r="O56" s="732">
        <f t="shared" si="7"/>
        <v>0</v>
      </c>
      <c r="P56" s="732">
        <f t="shared" si="7"/>
        <v>0</v>
      </c>
      <c r="Q56" s="733">
        <f t="shared" si="7"/>
        <v>0</v>
      </c>
      <c r="R56" s="734">
        <f ca="1">SUM(R54:R55)</f>
        <v>3808.759573398298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74613.196638400623</v>
      </c>
      <c r="D61" s="740">
        <f t="shared" ref="D61:Q61" ca="1" si="8">D46+D52+D56</f>
        <v>0</v>
      </c>
      <c r="E61" s="740">
        <f t="shared" ca="1" si="8"/>
        <v>96170.13552024994</v>
      </c>
      <c r="F61" s="740">
        <f t="shared" si="8"/>
        <v>5151.0601236128005</v>
      </c>
      <c r="G61" s="740">
        <f t="shared" ca="1" si="8"/>
        <v>31891.482089319656</v>
      </c>
      <c r="H61" s="740">
        <f t="shared" si="8"/>
        <v>81180.069833000976</v>
      </c>
      <c r="I61" s="740">
        <f t="shared" si="8"/>
        <v>11694.495920521078</v>
      </c>
      <c r="J61" s="740">
        <f t="shared" si="8"/>
        <v>0</v>
      </c>
      <c r="K61" s="740">
        <f t="shared" si="8"/>
        <v>249.81498657809084</v>
      </c>
      <c r="L61" s="740">
        <f t="shared" si="8"/>
        <v>0</v>
      </c>
      <c r="M61" s="740">
        <f t="shared" ca="1" si="8"/>
        <v>0</v>
      </c>
      <c r="N61" s="740">
        <f t="shared" si="8"/>
        <v>0</v>
      </c>
      <c r="O61" s="740">
        <f t="shared" ca="1" si="8"/>
        <v>0</v>
      </c>
      <c r="P61" s="740">
        <f t="shared" si="8"/>
        <v>0</v>
      </c>
      <c r="Q61" s="740">
        <f t="shared" si="8"/>
        <v>0</v>
      </c>
      <c r="R61" s="740">
        <f ca="1">R46+R52+R56</f>
        <v>300950.2551116831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0.1965049644468076</v>
      </c>
      <c r="D63" s="781">
        <f t="shared" ca="1" si="9"/>
        <v>0</v>
      </c>
      <c r="E63" s="1024">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6889.7925010185299</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35195.2645742682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42085.057075286728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6889.7925010185299</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35195.2645742682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42085.057075286728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65707.965369471422</v>
      </c>
      <c r="C4" s="477">
        <f>huishoudens!C8</f>
        <v>0</v>
      </c>
      <c r="D4" s="477">
        <f>huishoudens!D8</f>
        <v>132284.04506409442</v>
      </c>
      <c r="E4" s="477">
        <f>huishoudens!E8</f>
        <v>8065.8048564729452</v>
      </c>
      <c r="F4" s="477">
        <f>huishoudens!F8</f>
        <v>51766.217968330886</v>
      </c>
      <c r="G4" s="477">
        <f>huishoudens!G8</f>
        <v>0</v>
      </c>
      <c r="H4" s="477">
        <f>huishoudens!H8</f>
        <v>0</v>
      </c>
      <c r="I4" s="477">
        <f>huishoudens!I8</f>
        <v>0</v>
      </c>
      <c r="J4" s="477">
        <f>huishoudens!J8</f>
        <v>0</v>
      </c>
      <c r="K4" s="477">
        <f>huishoudens!K8</f>
        <v>0</v>
      </c>
      <c r="L4" s="477">
        <f>huishoudens!L8</f>
        <v>0</v>
      </c>
      <c r="M4" s="477">
        <f>huishoudens!M8</f>
        <v>0</v>
      </c>
      <c r="N4" s="477">
        <f>huishoudens!N8</f>
        <v>31339.622231345173</v>
      </c>
      <c r="O4" s="477">
        <f>huishoudens!O8</f>
        <v>698.81000000000006</v>
      </c>
      <c r="P4" s="478">
        <f>huishoudens!P8</f>
        <v>1334.6666666666667</v>
      </c>
      <c r="Q4" s="479">
        <f>SUM(B4:P4)</f>
        <v>291197.1321563815</v>
      </c>
    </row>
    <row r="5" spans="1:17">
      <c r="A5" s="476" t="s">
        <v>156</v>
      </c>
      <c r="B5" s="477">
        <f ca="1">tertiair!B16</f>
        <v>74010.987581430672</v>
      </c>
      <c r="C5" s="477">
        <f ca="1">tertiair!C16</f>
        <v>0</v>
      </c>
      <c r="D5" s="477">
        <f ca="1">tertiair!D16</f>
        <v>116278.55149477343</v>
      </c>
      <c r="E5" s="477">
        <f>tertiair!E16</f>
        <v>1408.5802493829674</v>
      </c>
      <c r="F5" s="477">
        <f ca="1">tertiair!F16</f>
        <v>13149.873793748407</v>
      </c>
      <c r="G5" s="477">
        <f>tertiair!G16</f>
        <v>0</v>
      </c>
      <c r="H5" s="477">
        <f>tertiair!H16</f>
        <v>0</v>
      </c>
      <c r="I5" s="477">
        <f>tertiair!I16</f>
        <v>0</v>
      </c>
      <c r="J5" s="477">
        <f>tertiair!J16</f>
        <v>0.130429238129355</v>
      </c>
      <c r="K5" s="477">
        <f>tertiair!K16</f>
        <v>0</v>
      </c>
      <c r="L5" s="477">
        <f ca="1">tertiair!L16</f>
        <v>0</v>
      </c>
      <c r="M5" s="477">
        <f>tertiair!M16</f>
        <v>0</v>
      </c>
      <c r="N5" s="477">
        <f ca="1">tertiair!N16</f>
        <v>5217.1906698750572</v>
      </c>
      <c r="O5" s="477">
        <f>tertiair!O16</f>
        <v>10.943333333333335</v>
      </c>
      <c r="P5" s="478">
        <f>tertiair!P16</f>
        <v>286</v>
      </c>
      <c r="Q5" s="476">
        <f t="shared" ref="Q5:Q14" ca="1" si="0">SUM(B5:P5)</f>
        <v>210362.25755178204</v>
      </c>
    </row>
    <row r="6" spans="1:17">
      <c r="A6" s="476" t="s">
        <v>194</v>
      </c>
      <c r="B6" s="477">
        <f>'openbare verlichting'!B8</f>
        <v>2858.82</v>
      </c>
      <c r="C6" s="477"/>
      <c r="D6" s="477"/>
      <c r="E6" s="477"/>
      <c r="F6" s="477"/>
      <c r="G6" s="477"/>
      <c r="H6" s="477"/>
      <c r="I6" s="477"/>
      <c r="J6" s="477"/>
      <c r="K6" s="477"/>
      <c r="L6" s="477"/>
      <c r="M6" s="477"/>
      <c r="N6" s="477"/>
      <c r="O6" s="477"/>
      <c r="P6" s="478"/>
      <c r="Q6" s="476">
        <f t="shared" si="0"/>
        <v>2858.82</v>
      </c>
    </row>
    <row r="7" spans="1:17">
      <c r="A7" s="476" t="s">
        <v>112</v>
      </c>
      <c r="B7" s="477">
        <f>landbouw!B8</f>
        <v>1499.5038647821777</v>
      </c>
      <c r="C7" s="477">
        <f>landbouw!C8</f>
        <v>0</v>
      </c>
      <c r="D7" s="477">
        <f>landbouw!D8</f>
        <v>1677.7303490661623</v>
      </c>
      <c r="E7" s="477">
        <f>landbouw!E8</f>
        <v>44.074998599383271</v>
      </c>
      <c r="F7" s="477">
        <f>landbouw!F8</f>
        <v>6246.8520717467209</v>
      </c>
      <c r="G7" s="477">
        <f>landbouw!G8</f>
        <v>0</v>
      </c>
      <c r="H7" s="477">
        <f>landbouw!H8</f>
        <v>0</v>
      </c>
      <c r="I7" s="477">
        <f>landbouw!I8</f>
        <v>0</v>
      </c>
      <c r="J7" s="477">
        <f>landbouw!J8</f>
        <v>217.24590779282624</v>
      </c>
      <c r="K7" s="477">
        <f>landbouw!K8</f>
        <v>0</v>
      </c>
      <c r="L7" s="477">
        <f>landbouw!L8</f>
        <v>0</v>
      </c>
      <c r="M7" s="477">
        <f>landbouw!M8</f>
        <v>0</v>
      </c>
      <c r="N7" s="477">
        <f>landbouw!N8</f>
        <v>0</v>
      </c>
      <c r="O7" s="477">
        <f>landbouw!O8</f>
        <v>0</v>
      </c>
      <c r="P7" s="478">
        <f>landbouw!P8</f>
        <v>0</v>
      </c>
      <c r="Q7" s="476">
        <f t="shared" si="0"/>
        <v>9685.4071919872713</v>
      </c>
    </row>
    <row r="8" spans="1:17">
      <c r="A8" s="476" t="s">
        <v>635</v>
      </c>
      <c r="B8" s="477">
        <f>industrie!B18</f>
        <v>233076.29238619894</v>
      </c>
      <c r="C8" s="477">
        <f>industrie!C18</f>
        <v>0</v>
      </c>
      <c r="D8" s="477">
        <f>industrie!D18</f>
        <v>220773.40258958581</v>
      </c>
      <c r="E8" s="477">
        <f>industrie!E18</f>
        <v>12549.050446013542</v>
      </c>
      <c r="F8" s="477">
        <f>industrie!F18</f>
        <v>48280.809309693301</v>
      </c>
      <c r="G8" s="477">
        <f>industrie!G18</f>
        <v>0</v>
      </c>
      <c r="H8" s="477">
        <f>industrie!H18</f>
        <v>0</v>
      </c>
      <c r="I8" s="477">
        <f>industrie!I18</f>
        <v>0</v>
      </c>
      <c r="J8" s="477">
        <f>industrie!J18</f>
        <v>488.31571544952698</v>
      </c>
      <c r="K8" s="477">
        <f>industrie!K18</f>
        <v>0</v>
      </c>
      <c r="L8" s="477">
        <f>industrie!L18</f>
        <v>0</v>
      </c>
      <c r="M8" s="477">
        <f>industrie!M18</f>
        <v>0</v>
      </c>
      <c r="N8" s="477">
        <f>industrie!N18</f>
        <v>43342.261414213033</v>
      </c>
      <c r="O8" s="477">
        <f>industrie!O18</f>
        <v>0</v>
      </c>
      <c r="P8" s="478">
        <f>industrie!P18</f>
        <v>0</v>
      </c>
      <c r="Q8" s="476">
        <f t="shared" si="0"/>
        <v>558510.13186115411</v>
      </c>
    </row>
    <row r="9" spans="1:17" s="482" customFormat="1">
      <c r="A9" s="480" t="s">
        <v>561</v>
      </c>
      <c r="B9" s="481">
        <f>transport!B14</f>
        <v>121.58143053907763</v>
      </c>
      <c r="C9" s="481">
        <f>transport!C14</f>
        <v>0</v>
      </c>
      <c r="D9" s="481">
        <f>transport!D14</f>
        <v>404.65459609143886</v>
      </c>
      <c r="E9" s="481">
        <f>transport!E14</f>
        <v>624.38426720869654</v>
      </c>
      <c r="F9" s="481">
        <f>transport!F14</f>
        <v>0</v>
      </c>
      <c r="G9" s="481">
        <f>transport!G14</f>
        <v>302141.60893009015</v>
      </c>
      <c r="H9" s="481">
        <f>transport!H14</f>
        <v>46965.847070365773</v>
      </c>
      <c r="I9" s="481">
        <f>transport!I14</f>
        <v>0</v>
      </c>
      <c r="J9" s="481">
        <f>transport!J14</f>
        <v>0</v>
      </c>
      <c r="K9" s="481">
        <f>transport!K14</f>
        <v>0</v>
      </c>
      <c r="L9" s="481">
        <f>transport!L14</f>
        <v>0</v>
      </c>
      <c r="M9" s="481">
        <f>transport!M14</f>
        <v>19038.448092860941</v>
      </c>
      <c r="N9" s="481">
        <f>transport!N14</f>
        <v>0</v>
      </c>
      <c r="O9" s="481">
        <f>transport!O14</f>
        <v>0</v>
      </c>
      <c r="P9" s="481">
        <f>transport!P14</f>
        <v>0</v>
      </c>
      <c r="Q9" s="480">
        <f>SUM(B9:P9)</f>
        <v>369296.52438715607</v>
      </c>
    </row>
    <row r="10" spans="1:17">
      <c r="A10" s="476" t="s">
        <v>551</v>
      </c>
      <c r="B10" s="477">
        <f>transport!B54</f>
        <v>0</v>
      </c>
      <c r="C10" s="477">
        <f>transport!C54</f>
        <v>0</v>
      </c>
      <c r="D10" s="477">
        <f>transport!D54</f>
        <v>0</v>
      </c>
      <c r="E10" s="477">
        <f>transport!E54</f>
        <v>0</v>
      </c>
      <c r="F10" s="477">
        <f>transport!F54</f>
        <v>0</v>
      </c>
      <c r="G10" s="477">
        <f>transport!G54</f>
        <v>1903.5964369546839</v>
      </c>
      <c r="H10" s="477">
        <f>transport!H54</f>
        <v>0</v>
      </c>
      <c r="I10" s="477">
        <f>transport!I54</f>
        <v>0</v>
      </c>
      <c r="J10" s="477">
        <f>transport!J54</f>
        <v>0</v>
      </c>
      <c r="K10" s="477">
        <f>transport!K54</f>
        <v>0</v>
      </c>
      <c r="L10" s="477">
        <f>transport!L54</f>
        <v>0</v>
      </c>
      <c r="M10" s="477">
        <f>transport!M54</f>
        <v>108.11587404714972</v>
      </c>
      <c r="N10" s="477">
        <f>transport!N54</f>
        <v>0</v>
      </c>
      <c r="O10" s="477">
        <f>transport!O54</f>
        <v>0</v>
      </c>
      <c r="P10" s="478">
        <f>transport!P54</f>
        <v>0</v>
      </c>
      <c r="Q10" s="476">
        <f t="shared" si="0"/>
        <v>2011.7123110018335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2426.18082476769</v>
      </c>
      <c r="C14" s="484"/>
      <c r="D14" s="484">
        <f>'SEAP template'!E25</f>
        <v>4671.3957096062604</v>
      </c>
      <c r="E14" s="484"/>
      <c r="F14" s="484"/>
      <c r="G14" s="484"/>
      <c r="H14" s="484"/>
      <c r="I14" s="484"/>
      <c r="J14" s="484"/>
      <c r="K14" s="484"/>
      <c r="L14" s="484"/>
      <c r="M14" s="484"/>
      <c r="N14" s="484"/>
      <c r="O14" s="484"/>
      <c r="P14" s="485"/>
      <c r="Q14" s="476">
        <f t="shared" si="0"/>
        <v>7097.5765343739504</v>
      </c>
    </row>
    <row r="15" spans="1:17" s="486" customFormat="1">
      <c r="A15" s="1039" t="s">
        <v>555</v>
      </c>
      <c r="B15" s="987">
        <f ca="1">SUM(B4:B14)</f>
        <v>379701.33145718998</v>
      </c>
      <c r="C15" s="987">
        <f t="shared" ref="C15:Q15" ca="1" si="1">SUM(C4:C14)</f>
        <v>0</v>
      </c>
      <c r="D15" s="987">
        <f t="shared" ca="1" si="1"/>
        <v>476089.77980321745</v>
      </c>
      <c r="E15" s="987">
        <f t="shared" si="1"/>
        <v>22691.894817677534</v>
      </c>
      <c r="F15" s="987">
        <f t="shared" ca="1" si="1"/>
        <v>119443.75314351931</v>
      </c>
      <c r="G15" s="987">
        <f t="shared" si="1"/>
        <v>304045.20536704484</v>
      </c>
      <c r="H15" s="987">
        <f t="shared" si="1"/>
        <v>46965.847070365773</v>
      </c>
      <c r="I15" s="987">
        <f t="shared" si="1"/>
        <v>0</v>
      </c>
      <c r="J15" s="987">
        <f t="shared" si="1"/>
        <v>705.69205248048252</v>
      </c>
      <c r="K15" s="987">
        <f t="shared" si="1"/>
        <v>0</v>
      </c>
      <c r="L15" s="987">
        <f t="shared" ca="1" si="1"/>
        <v>0</v>
      </c>
      <c r="M15" s="987">
        <f t="shared" si="1"/>
        <v>19146.563966908092</v>
      </c>
      <c r="N15" s="987">
        <f t="shared" ca="1" si="1"/>
        <v>79899.074315433259</v>
      </c>
      <c r="O15" s="987">
        <f t="shared" si="1"/>
        <v>709.75333333333344</v>
      </c>
      <c r="P15" s="987">
        <f t="shared" si="1"/>
        <v>1620.6666666666667</v>
      </c>
      <c r="Q15" s="987">
        <f t="shared" ca="1" si="1"/>
        <v>1451019.5619938367</v>
      </c>
    </row>
    <row r="17" spans="1:17">
      <c r="A17" s="487" t="s">
        <v>556</v>
      </c>
      <c r="B17" s="786">
        <f ca="1">huishoudens!B10</f>
        <v>0.19650496444680757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12911.941398800045</v>
      </c>
      <c r="C22" s="477">
        <f t="shared" ref="C22:C32" ca="1" si="3">C4*$C$17</f>
        <v>0</v>
      </c>
      <c r="D22" s="477">
        <f t="shared" ref="D22:D32" si="4">D4*$D$17</f>
        <v>26721.377102947074</v>
      </c>
      <c r="E22" s="477">
        <f t="shared" ref="E22:E32" si="5">E4*$E$17</f>
        <v>1830.9377024193586</v>
      </c>
      <c r="F22" s="477">
        <f t="shared" ref="F22:F32" si="6">F4*$F$17</f>
        <v>13821.580197544346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55285.836401710825</v>
      </c>
    </row>
    <row r="23" spans="1:17">
      <c r="A23" s="476" t="s">
        <v>156</v>
      </c>
      <c r="B23" s="477">
        <f t="shared" ca="1" si="2"/>
        <v>14543.526483362151</v>
      </c>
      <c r="C23" s="477">
        <f t="shared" ca="1" si="3"/>
        <v>0</v>
      </c>
      <c r="D23" s="477">
        <f t="shared" ca="1" si="4"/>
        <v>23488.267401944235</v>
      </c>
      <c r="E23" s="477">
        <f t="shared" si="5"/>
        <v>319.7477166099336</v>
      </c>
      <c r="F23" s="477">
        <f t="shared" ca="1" si="6"/>
        <v>3511.0163029308251</v>
      </c>
      <c r="G23" s="477">
        <f t="shared" si="7"/>
        <v>0</v>
      </c>
      <c r="H23" s="477">
        <f t="shared" si="8"/>
        <v>0</v>
      </c>
      <c r="I23" s="477">
        <f t="shared" si="9"/>
        <v>0</v>
      </c>
      <c r="J23" s="477">
        <f t="shared" si="10"/>
        <v>4.617195029779167E-2</v>
      </c>
      <c r="K23" s="477">
        <f t="shared" si="11"/>
        <v>0</v>
      </c>
      <c r="L23" s="477">
        <f t="shared" ca="1" si="12"/>
        <v>0</v>
      </c>
      <c r="M23" s="477">
        <f t="shared" si="13"/>
        <v>0</v>
      </c>
      <c r="N23" s="477">
        <f t="shared" ca="1" si="14"/>
        <v>0</v>
      </c>
      <c r="O23" s="477">
        <f t="shared" si="15"/>
        <v>0</v>
      </c>
      <c r="P23" s="478">
        <f t="shared" si="16"/>
        <v>0</v>
      </c>
      <c r="Q23" s="476">
        <f t="shared" ref="Q23:Q32" ca="1" si="17">SUM(B23:P23)</f>
        <v>41862.604076797441</v>
      </c>
    </row>
    <row r="24" spans="1:17">
      <c r="A24" s="476" t="s">
        <v>194</v>
      </c>
      <c r="B24" s="477">
        <f t="shared" ca="1" si="2"/>
        <v>561.77232245982248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561.77232245982248</v>
      </c>
    </row>
    <row r="25" spans="1:17">
      <c r="A25" s="476" t="s">
        <v>112</v>
      </c>
      <c r="B25" s="477">
        <f t="shared" ca="1" si="2"/>
        <v>294.65995363687239</v>
      </c>
      <c r="C25" s="477">
        <f t="shared" ca="1" si="3"/>
        <v>0</v>
      </c>
      <c r="D25" s="477">
        <f t="shared" si="4"/>
        <v>338.9015305113648</v>
      </c>
      <c r="E25" s="477">
        <f t="shared" si="5"/>
        <v>10.005024682060002</v>
      </c>
      <c r="F25" s="477">
        <f t="shared" si="6"/>
        <v>1667.9095031563745</v>
      </c>
      <c r="G25" s="477">
        <f t="shared" si="7"/>
        <v>0</v>
      </c>
      <c r="H25" s="477">
        <f t="shared" si="8"/>
        <v>0</v>
      </c>
      <c r="I25" s="477">
        <f t="shared" si="9"/>
        <v>0</v>
      </c>
      <c r="J25" s="477">
        <f t="shared" si="10"/>
        <v>76.905051358660486</v>
      </c>
      <c r="K25" s="477">
        <f t="shared" si="11"/>
        <v>0</v>
      </c>
      <c r="L25" s="477">
        <f t="shared" si="12"/>
        <v>0</v>
      </c>
      <c r="M25" s="477">
        <f t="shared" si="13"/>
        <v>0</v>
      </c>
      <c r="N25" s="477">
        <f t="shared" si="14"/>
        <v>0</v>
      </c>
      <c r="O25" s="477">
        <f t="shared" si="15"/>
        <v>0</v>
      </c>
      <c r="P25" s="478">
        <f t="shared" si="16"/>
        <v>0</v>
      </c>
      <c r="Q25" s="476">
        <f t="shared" ca="1" si="17"/>
        <v>2388.3810633453322</v>
      </c>
    </row>
    <row r="26" spans="1:17">
      <c r="A26" s="476" t="s">
        <v>635</v>
      </c>
      <c r="B26" s="477">
        <f t="shared" ca="1" si="2"/>
        <v>45800.648548743746</v>
      </c>
      <c r="C26" s="477">
        <f t="shared" ca="1" si="3"/>
        <v>0</v>
      </c>
      <c r="D26" s="477">
        <f t="shared" si="4"/>
        <v>44596.227323096333</v>
      </c>
      <c r="E26" s="477">
        <f t="shared" si="5"/>
        <v>2848.6344512450742</v>
      </c>
      <c r="F26" s="477">
        <f t="shared" si="6"/>
        <v>12890.976085688111</v>
      </c>
      <c r="G26" s="477">
        <f t="shared" si="7"/>
        <v>0</v>
      </c>
      <c r="H26" s="477">
        <f t="shared" si="8"/>
        <v>0</v>
      </c>
      <c r="I26" s="477">
        <f t="shared" si="9"/>
        <v>0</v>
      </c>
      <c r="J26" s="477">
        <f t="shared" si="10"/>
        <v>172.86376326913253</v>
      </c>
      <c r="K26" s="477">
        <f t="shared" si="11"/>
        <v>0</v>
      </c>
      <c r="L26" s="477">
        <f t="shared" si="12"/>
        <v>0</v>
      </c>
      <c r="M26" s="477">
        <f t="shared" si="13"/>
        <v>0</v>
      </c>
      <c r="N26" s="477">
        <f t="shared" si="14"/>
        <v>0</v>
      </c>
      <c r="O26" s="477">
        <f t="shared" si="15"/>
        <v>0</v>
      </c>
      <c r="P26" s="478">
        <f t="shared" si="16"/>
        <v>0</v>
      </c>
      <c r="Q26" s="476">
        <f t="shared" ca="1" si="17"/>
        <v>106309.3501720424</v>
      </c>
    </row>
    <row r="27" spans="1:17" s="482" customFormat="1">
      <c r="A27" s="480" t="s">
        <v>561</v>
      </c>
      <c r="B27" s="780">
        <f t="shared" ca="1" si="2"/>
        <v>23.891354685473452</v>
      </c>
      <c r="C27" s="481">
        <f t="shared" ca="1" si="3"/>
        <v>0</v>
      </c>
      <c r="D27" s="481">
        <f t="shared" si="4"/>
        <v>81.74022841047065</v>
      </c>
      <c r="E27" s="481">
        <f t="shared" si="5"/>
        <v>141.73522865637412</v>
      </c>
      <c r="F27" s="481">
        <f t="shared" si="6"/>
        <v>0</v>
      </c>
      <c r="G27" s="481">
        <f t="shared" si="7"/>
        <v>80671.809584334071</v>
      </c>
      <c r="H27" s="481">
        <f t="shared" si="8"/>
        <v>11694.495920521078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92613.672316607466</v>
      </c>
    </row>
    <row r="28" spans="1:17">
      <c r="A28" s="476" t="s">
        <v>551</v>
      </c>
      <c r="B28" s="477">
        <f t="shared" ca="1" si="2"/>
        <v>0</v>
      </c>
      <c r="C28" s="477">
        <f t="shared" ca="1" si="3"/>
        <v>0</v>
      </c>
      <c r="D28" s="477">
        <f t="shared" si="4"/>
        <v>0</v>
      </c>
      <c r="E28" s="477">
        <f t="shared" si="5"/>
        <v>0</v>
      </c>
      <c r="F28" s="477">
        <f t="shared" si="6"/>
        <v>0</v>
      </c>
      <c r="G28" s="477">
        <f t="shared" si="7"/>
        <v>508.26024866690062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508.26024866690062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476.75657671250116</v>
      </c>
      <c r="C32" s="477">
        <f t="shared" ca="1" si="3"/>
        <v>0</v>
      </c>
      <c r="D32" s="477">
        <f t="shared" si="4"/>
        <v>943.62193334046469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1420.3785100529658</v>
      </c>
    </row>
    <row r="33" spans="1:17" s="486" customFormat="1">
      <c r="A33" s="1039" t="s">
        <v>555</v>
      </c>
      <c r="B33" s="987">
        <f ca="1">SUM(B22:B32)</f>
        <v>74613.196638400623</v>
      </c>
      <c r="C33" s="987">
        <f t="shared" ref="C33:Q33" ca="1" si="18">SUM(C22:C32)</f>
        <v>0</v>
      </c>
      <c r="D33" s="987">
        <f t="shared" ca="1" si="18"/>
        <v>96170.13552024994</v>
      </c>
      <c r="E33" s="987">
        <f t="shared" si="18"/>
        <v>5151.0601236128005</v>
      </c>
      <c r="F33" s="987">
        <f t="shared" ca="1" si="18"/>
        <v>31891.482089319656</v>
      </c>
      <c r="G33" s="987">
        <f t="shared" si="18"/>
        <v>81180.069833000976</v>
      </c>
      <c r="H33" s="987">
        <f t="shared" si="18"/>
        <v>11694.495920521078</v>
      </c>
      <c r="I33" s="987">
        <f t="shared" si="18"/>
        <v>0</v>
      </c>
      <c r="J33" s="987">
        <f t="shared" si="18"/>
        <v>249.81498657809081</v>
      </c>
      <c r="K33" s="987">
        <f t="shared" si="18"/>
        <v>0</v>
      </c>
      <c r="L33" s="987">
        <f t="shared" ca="1" si="18"/>
        <v>0</v>
      </c>
      <c r="M33" s="987">
        <f t="shared" si="18"/>
        <v>0</v>
      </c>
      <c r="N33" s="987">
        <f t="shared" ca="1" si="18"/>
        <v>0</v>
      </c>
      <c r="O33" s="987">
        <f t="shared" si="18"/>
        <v>0</v>
      </c>
      <c r="P33" s="987">
        <f t="shared" si="18"/>
        <v>0</v>
      </c>
      <c r="Q33" s="987">
        <f t="shared" ca="1" si="18"/>
        <v>300950.25511168316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6889.7925010185299</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35195.2645742682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42085.057075286728</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0.19650496444680757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0.19650496444680757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2019-08-12T08:33:34Z</dcterms:modified>
</cp:coreProperties>
</file>