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19" i="6"/>
  <c r="B18"/>
  <c r="B5"/>
  <c r="B6"/>
  <c r="C64" i="14" s="1"/>
  <c r="D14" i="48"/>
  <c r="P7"/>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90" i="14"/>
  <c r="E90"/>
  <c r="E18" i="61"/>
  <c r="E20" s="1"/>
  <c r="O9" i="18"/>
  <c r="N78" i="14"/>
  <c r="N9" i="61"/>
  <c r="N10" s="1"/>
  <c r="L90" i="14"/>
  <c r="L18" i="61"/>
  <c r="L78" i="14"/>
  <c r="L8" i="61"/>
  <c r="L10" s="1"/>
  <c r="B10" i="18"/>
  <c r="M77" i="14"/>
  <c r="M9" i="61" s="1"/>
  <c r="O10"/>
  <c r="G20"/>
  <c r="K20"/>
  <c r="Q11" i="48"/>
  <c r="O32"/>
  <c r="C98" i="18"/>
  <c r="F101" s="1"/>
  <c r="D13" i="15"/>
  <c r="B72" i="14"/>
  <c r="B4" i="61" s="1"/>
  <c r="O30" i="48"/>
  <c r="C13" i="15"/>
  <c r="K78" i="14"/>
  <c r="K8" i="61"/>
  <c r="K10" s="1"/>
  <c r="H9" i="18"/>
  <c r="L20" i="61"/>
  <c r="P31" i="48"/>
  <c r="J22" i="14"/>
  <c r="P22"/>
  <c r="E10" i="61"/>
  <c r="B17" i="18"/>
  <c r="B20" s="1"/>
  <c r="O22" i="14"/>
  <c r="G77"/>
  <c r="G9" i="61" s="1"/>
  <c r="G10" s="1"/>
  <c r="H20"/>
  <c r="P25" i="48"/>
  <c r="I77" i="14"/>
  <c r="I9" i="61" s="1"/>
  <c r="L13" i="15"/>
  <c r="B13"/>
  <c r="H90" i="14"/>
  <c r="N13" i="15"/>
  <c r="F77" i="14"/>
  <c r="F9" i="61" s="1"/>
  <c r="H101" i="18"/>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G78" i="14"/>
  <c r="B101" i="18"/>
  <c r="C8" s="1"/>
  <c r="I101"/>
  <c r="H8" s="1"/>
  <c r="E101"/>
  <c r="E8" s="1"/>
  <c r="E10" s="1"/>
  <c r="G101"/>
  <c r="I8"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I17" i="18"/>
  <c r="I10"/>
  <c r="I76" i="14"/>
  <c r="I8" i="61" s="1"/>
  <c r="I10" s="1"/>
  <c r="Q88" i="14"/>
  <c r="P18" i="61" s="1"/>
  <c r="AC15" i="5"/>
  <c r="M90" i="14" l="1"/>
  <c r="M17" i="61"/>
  <c r="M20" s="1"/>
  <c r="M78" i="14"/>
  <c r="M8" i="61"/>
  <c r="M10" s="1"/>
  <c r="F90" i="14"/>
  <c r="F17" i="61"/>
  <c r="F20" s="1"/>
  <c r="O8" i="18"/>
  <c r="O10" s="1"/>
  <c r="F76" i="14"/>
  <c r="I78"/>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F78" i="14"/>
  <c r="F8" i="61"/>
  <c r="F1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28"/>
  <c r="H32"/>
  <c r="H24"/>
  <c r="H22"/>
  <c r="H26"/>
  <c r="H30"/>
  <c r="H25"/>
  <c r="H23"/>
  <c r="C4"/>
  <c r="D11" i="14"/>
  <c r="G23" i="48"/>
  <c r="G22"/>
  <c r="G30"/>
  <c r="G32"/>
  <c r="G29"/>
  <c r="G25"/>
  <c r="G24"/>
  <c r="G26"/>
  <c r="B4"/>
  <c r="C11" i="14"/>
  <c r="F30" i="48"/>
  <c r="F32"/>
  <c r="F24"/>
  <c r="F29"/>
  <c r="F31"/>
  <c r="F27"/>
  <c r="F28"/>
  <c r="N27"/>
  <c r="N31"/>
  <c r="N32"/>
  <c r="N24"/>
  <c r="N30"/>
  <c r="N29"/>
  <c r="N28"/>
  <c r="B10"/>
  <c r="C19" i="14"/>
  <c r="E31" i="48"/>
  <c r="E30"/>
  <c r="E28"/>
  <c r="E32"/>
  <c r="E29"/>
  <c r="E24"/>
  <c r="M29"/>
  <c r="M25"/>
  <c r="M32"/>
  <c r="M22"/>
  <c r="M26"/>
  <c r="M24"/>
  <c r="M30"/>
  <c r="M23"/>
  <c r="L10" i="14"/>
  <c r="L16" s="1"/>
  <c r="L27" s="1"/>
  <c r="K5" i="48"/>
  <c r="D30"/>
  <c r="D28"/>
  <c r="D24"/>
  <c r="D29"/>
  <c r="D31"/>
  <c r="D32"/>
  <c r="L29"/>
  <c r="L32"/>
  <c r="L22"/>
  <c r="L31"/>
  <c r="L30"/>
  <c r="L27"/>
  <c r="L28"/>
  <c r="L24"/>
  <c r="Q10" i="14"/>
  <c r="P5" i="48"/>
  <c r="P23" s="1"/>
  <c r="K32"/>
  <c r="K24"/>
  <c r="K25"/>
  <c r="K31"/>
  <c r="K30"/>
  <c r="K27"/>
  <c r="K28"/>
  <c r="K26"/>
  <c r="K22"/>
  <c r="K29"/>
  <c r="C24" i="14"/>
  <c r="C26" s="1"/>
  <c r="B7" i="48"/>
  <c r="J30"/>
  <c r="J32"/>
  <c r="J24"/>
  <c r="J31"/>
  <c r="J29"/>
  <c r="J27"/>
  <c r="J28"/>
  <c r="Q11" i="14"/>
  <c r="P4" i="48"/>
  <c r="P11" i="14"/>
  <c r="O4" i="48"/>
  <c r="I25"/>
  <c r="I27"/>
  <c r="I24"/>
  <c r="I28"/>
  <c r="I30"/>
  <c r="I22"/>
  <c r="I32"/>
  <c r="I26"/>
  <c r="I29"/>
  <c r="I3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H18"/>
  <c r="G13" i="48"/>
  <c r="G31" s="1"/>
  <c r="P22"/>
  <c r="P33" s="1"/>
  <c r="E9"/>
  <c r="E27" s="1"/>
  <c r="F20" i="14"/>
  <c r="F22" s="1"/>
  <c r="Q13"/>
  <c r="P8" i="48"/>
  <c r="P26" s="1"/>
  <c r="D9"/>
  <c r="D27" s="1"/>
  <c r="E20" i="14"/>
  <c r="E22" s="1"/>
  <c r="P10"/>
  <c r="O5" i="48"/>
  <c r="O23" s="1"/>
  <c r="O22"/>
  <c r="B9"/>
  <c r="C20" i="14"/>
  <c r="K24"/>
  <c r="K26" s="1"/>
  <c r="J7" i="48"/>
  <c r="J25" s="1"/>
  <c r="K23"/>
  <c r="K15"/>
  <c r="C22" i="14"/>
  <c r="K33" i="48"/>
  <c r="I20" i="15"/>
  <c r="J40" i="14" s="1"/>
  <c r="J46" s="1"/>
  <c r="J61"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E7"/>
  <c r="E25" s="1"/>
  <c r="F24" i="14"/>
  <c r="F26" s="1"/>
  <c r="E4" i="48"/>
  <c r="F11" i="14"/>
  <c r="R11" s="1"/>
  <c r="P13"/>
  <c r="O8" i="48"/>
  <c r="O26" s="1"/>
  <c r="O33" s="1"/>
  <c r="J4"/>
  <c r="K11" i="14"/>
  <c r="O11"/>
  <c r="N4" i="48"/>
  <c r="N22" s="1"/>
  <c r="I23"/>
  <c r="I33" s="1"/>
  <c r="I15"/>
  <c r="O15"/>
  <c r="E12" i="17"/>
  <c r="F54" i="14" s="1"/>
  <c r="F56" s="1"/>
  <c r="J63"/>
  <c r="M14" i="22"/>
  <c r="H14"/>
  <c r="H9" i="48" s="1"/>
  <c r="P16" i="14"/>
  <c r="P27" s="1"/>
  <c r="P15"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J22" i="48"/>
  <c r="H22" i="14"/>
  <c r="H27" s="1"/>
  <c r="R19"/>
  <c r="G9" i="48"/>
  <c r="H20" i="14"/>
  <c r="G28" i="48"/>
  <c r="Q10"/>
  <c r="J5"/>
  <c r="J23" s="1"/>
  <c r="K10" i="14"/>
  <c r="F10"/>
  <c r="E5" i="48"/>
  <c r="E23" s="1"/>
  <c r="E22"/>
  <c r="Q4"/>
  <c r="Q7"/>
  <c r="I20" i="14"/>
  <c r="I22" s="1"/>
  <c r="I27" s="1"/>
  <c r="M15" i="48"/>
  <c r="M27"/>
  <c r="M33" s="1"/>
  <c r="H15"/>
  <c r="H27"/>
  <c r="H33" s="1"/>
  <c r="N63" i="14"/>
  <c r="R24"/>
  <c r="R26" s="1"/>
  <c r="N18" i="16"/>
  <c r="E20" i="15"/>
  <c r="F40" i="14" s="1"/>
  <c r="F18" i="16"/>
  <c r="J18"/>
  <c r="E18"/>
  <c r="G18" i="22"/>
  <c r="H50" i="14" s="1"/>
  <c r="H18" i="22"/>
  <c r="I50" i="14" s="1"/>
  <c r="I52" s="1"/>
  <c r="I61" s="1"/>
  <c r="R22" l="1"/>
  <c r="J8" i="48"/>
  <c r="J26" s="1"/>
  <c r="K13" i="14"/>
  <c r="F13"/>
  <c r="F16" s="1"/>
  <c r="F27" s="1"/>
  <c r="E8" i="48"/>
  <c r="E26" s="1"/>
  <c r="G27"/>
  <c r="G33" s="1"/>
  <c r="G15"/>
  <c r="J33"/>
  <c r="I63" i="14"/>
  <c r="R20"/>
  <c r="K16"/>
  <c r="K27" s="1"/>
  <c r="Q9" i="48"/>
  <c r="E33"/>
  <c r="N8"/>
  <c r="N26" s="1"/>
  <c r="O13" i="14"/>
  <c r="F8" i="48"/>
  <c r="G13" i="14"/>
  <c r="E22" i="16"/>
  <c r="F43" i="14" s="1"/>
  <c r="F46" s="1"/>
  <c r="F61" s="1"/>
  <c r="F22" i="16"/>
  <c r="G43" i="14" s="1"/>
  <c r="N22" i="16"/>
  <c r="O43" i="14" s="1"/>
  <c r="J22" i="16"/>
  <c r="K43" i="14" s="1"/>
  <c r="K46" s="1"/>
  <c r="K61" s="1"/>
  <c r="F63" l="1"/>
  <c r="K63"/>
  <c r="J15" i="48"/>
  <c r="R1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<sst xmlns="http://schemas.openxmlformats.org/spreadsheetml/2006/main" count="2383" uniqueCount="881">
  <si>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</si>
  <si>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</si>
  <si>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</si>
  <si>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</si>
  <si>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</si>
  <si>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</si>
  <si>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</si>
  <si>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</si>
  <si>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</si>
  <si>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</si>
  <si>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</si>
  <si>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</si>
  <si>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</si>
  <si>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</si>
  <si>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</si>
  <si>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</si>
  <si>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</si>
  <si>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</si>
  <si>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</si>
  <si>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</si>
  <si>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</si>
  <si>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</si>
  <si>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</si>
  <si>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</si>
  <si>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</si>
  <si>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</si>
  <si>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</si>
  <si>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</si>
  <si>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</si>
  <si>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</si>
  <si>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</si>
  <si>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</si>
  <si>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</si>
  <si>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</si>
  <si>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</si>
  <si>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</si>
  <si>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</si>
  <si>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</si>
  <si>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</si>
  <si>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</si>
  <si>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</si>
  <si>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</si>
  <si>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</si>
  <si>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</si>
  <si>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</si>
  <si>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</si>
  <si>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</si>
  <si>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</si>
  <si>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</si>
  <si>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</si>
  <si>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</si>
  <si>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</si>
  <si>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</si>
  <si>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</si>
  <si>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</si>
  <si>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</si>
  <si>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</si>
  <si>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</si>
  <si>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</si>
  <si>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</si>
  <si>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</si>
  <si>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</si>
  <si>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</si>
  <si>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</si>
  <si>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</si>
  <si>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</si>
  <si>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</si>
  <si>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</si>
  <si>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</si>
  <si>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</si>
  <si>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</si>
  <si>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</si>
  <si>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</si>
  <si>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</si>
  <si>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</si>
  <si>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</si>
  <si>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</si>
  <si>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</si>
  <si>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</si>
  <si>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</si>
  <si>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</si>
  <si>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</si>
  <si>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</si>
  <si>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</si>
  <si>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</si>
  <si>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</si>
  <si>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</si>
  <si>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</si>
  <si>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</si>
  <si>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</si>
  <si>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</si>
  <si>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</si>
  <si>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</si>
  <si>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</si>
  <si>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</si>
  <si>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</si>
  <si>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</si>
  <si>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</si>
  <si>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</si>
  <si>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</si>
  <si>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</si>
  <si>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</si>
  <si>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</si>
  <si>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</si>
  <si>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</si>
  <si>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</si>
  <si>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</si>
  <si>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</si>
  <si>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</si>
  <si>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</si>
  <si>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</si>
  <si>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</si>
  <si>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</si>
  <si>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</si>
  <si>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</si>
  <si>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</si>
  <si>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</si>
  <si>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</si>
  <si>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</si>
  <si>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</si>
  <si>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</si>
  <si>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</si>
  <si>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</si>
  <si>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</si>
  <si>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</si>
  <si>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</si>
  <si>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</si>
  <si>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</si>
  <si>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</si>
  <si>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</si>
  <si>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</si>
  <si>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</si>
  <si>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</si>
  <si>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</si>
  <si>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</si>
  <si>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</si>
  <si>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</si>
  <si>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</si>
  <si>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</si>
  <si>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</si>
  <si>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</si>
  <si>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</si>
  <si>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</si>
  <si>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</si>
  <si>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</si>
  <si>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</si>
  <si>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</si>
  <si>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</si>
  <si>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</si>
  <si>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</si>
  <si>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</si>
  <si>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</si>
  <si>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</si>
  <si>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</si>
  <si>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</si>
  <si>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</si>
  <si>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</si>
  <si>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</si>
  <si>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</si>
  <si>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</si>
  <si>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</si>
  <si>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</si>
  <si>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</si>
  <si>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</si>
  <si>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</si>
  <si>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</si>
  <si>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</si>
  <si>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</si>
  <si>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</si>
  <si>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</si>
  <si>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</si>
  <si>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</si>
  <si>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</si>
  <si>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</si>
  <si>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</si>
  <si>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</si>
  <si>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</si>
  <si>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</si>
  <si>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</si>
  <si>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</si>
  <si>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</si>
  <si>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</si>
  <si>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</si>
  <si>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</si>
  <si>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</si>
  <si>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</si>
  <si>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</si>
  <si>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</si>
  <si>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</si>
  <si>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</si>
  <si>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</si>
  <si>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</si>
  <si>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</si>
  <si>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</si>
  <si>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</si>
  <si>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</si>
  <si>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</si>
  <si>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</si>
  <si>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</si>
  <si>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</si>
  <si>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</si>
  <si>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</si>
  <si>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</si>
  <si>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</si>
  <si>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</si>
  <si>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</si>
  <si>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</si>
  <si>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</si>
  <si>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</si>
  <si>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</si>
  <si>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</si>
  <si>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</si>
  <si>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</si>
  <si>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</si>
  <si>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</si>
  <si>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</si>
  <si>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</si>
  <si>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</si>
  <si>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</si>
  <si>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</si>
  <si>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</si>
  <si>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</si>
  <si>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</si>
  <si>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</si>
  <si>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</si>
  <si>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</si>
  <si>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</si>
  <si>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</si>
  <si>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</si>
  <si>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</si>
  <si>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</si>
  <si>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</si>
  <si>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</si>
  <si>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</si>
  <si>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</si>
  <si>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</si>
  <si>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</si>
  <si>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</si>
  <si>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</si>
  <si>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</si>
  <si>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</si>
  <si>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</si>
  <si>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</si>
  <si>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</si>
  <si>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</si>
  <si>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</si>
  <si>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</si>
  <si>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</si>
  <si>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</si>
  <si>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</si>
  <si>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</si>
  <si>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</si>
  <si>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</si>
  <si>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</si>
  <si>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</si>
  <si>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</si>
  <si>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</si>
  <si>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</si>
  <si>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</si>
  <si>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</si>
  <si>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</si>
  <si>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</si>
  <si>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</si>
  <si>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</si>
  <si>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</si>
  <si>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</si>
  <si>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</si>
  <si>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</si>
  <si>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</si>
  <si>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</si>
  <si>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</si>
  <si>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</si>
  <si>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</si>
  <si>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</si>
  <si>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</si>
  <si>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</si>
  <si>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</si>
  <si>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</si>
  <si>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</si>
  <si>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</si>
  <si>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</si>
  <si>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</si>
  <si>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</si>
  <si>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</si>
  <si>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</si>
  <si>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</si>
  <si>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</si>
  <si>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</si>
  <si>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</si>
  <si>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</si>
  <si>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</si>
  <si>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</si>
  <si>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</si>
  <si>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</si>
  <si>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</si>
  <si>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</si>
  <si>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</si>
  <si>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</si>
  <si>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</si>
  <si>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</si>
  <si>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</si>
  <si>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</si>
  <si>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</si>
  <si>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</si>
  <si>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</si>
  <si>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</si>
  <si>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</si>
  <si>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</si>
  <si>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</si>
  <si>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</si>
  <si>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</si>
  <si>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</si>
  <si>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</si>
  <si>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</si>
  <si>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</si>
  <si>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</si>
  <si>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</si>
  <si>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</si>
  <si>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</si>
  <si>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</si>
  <si>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</si>
  <si>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</si>
  <si>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</si>
  <si>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</si>
  <si>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</si>
  <si>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</si>
  <si>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</si>
  <si>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</si>
  <si>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</si>
  <si>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</si>
  <si>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</si>
  <si>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</si>
  <si>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</si>
  <si>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</si>
  <si>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</si>
  <si>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</si>
  <si>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</si>
  <si>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</si>
  <si>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</si>
  <si>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</si>
  <si>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</si>
  <si>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</si>
  <si>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</si>
  <si>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</si>
  <si>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</si>
  <si>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</si>
  <si>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</si>
  <si>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</si>
  <si>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</si>
  <si>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</si>
  <si>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</si>
  <si>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</si>
  <si>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</si>
  <si>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</si>
  <si>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</si>
  <si>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</si>
  <si>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</si>
  <si>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</si>
  <si>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</si>
  <si>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</si>
  <si>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</si>
  <si>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</si>
  <si>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</si>
  <si>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</si>
  <si>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</si>
  <si>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</si>
  <si>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</si>
  <si>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</si>
  <si>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</si>
  <si>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</si>
  <si>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</si>
  <si>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</si>
  <si>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</si>
  <si>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</si>
  <si>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</si>
  <si>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</si>
  <si>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</si>
  <si>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</si>
  <si>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</si>
  <si>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</si>
  <si>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</si>
  <si>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</si>
  <si>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</si>
  <si>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</si>
  <si>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</si>
  <si>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</si>
  <si>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</si>
  <si>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</si>
  <si>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</si>
  <si>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</si>
  <si>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</si>
  <si>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</si>
  <si>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</si>
  <si>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</si>
  <si>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</si>
  <si>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</si>
  <si>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</si>
  <si>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</si>
  <si>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</si>
  <si>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</si>
  <si>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</si>
  <si>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</si>
  <si>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</si>
  <si>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</si>
  <si>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</si>
  <si>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</si>
  <si>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</si>
  <si>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</si>
  <si>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</si>
  <si>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</si>
  <si>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</si>
  <si>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</si>
  <si>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</si>
  <si>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</si>
  <si>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</si>
  <si>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</si>
  <si>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</si>
  <si>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</si>
  <si>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</si>
  <si>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</si>
  <si>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</si>
  <si>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</si>
  <si>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</si>
  <si>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</si>
  <si>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</si>
  <si>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</si>
  <si>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</si>
  <si>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</si>
  <si>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</si>
  <si>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</si>
  <si>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</si>
  <si>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</si>
  <si>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</si>
  <si>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</si>
  <si>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</si>
  <si>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</si>
  <si>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</si>
  <si>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</si>
  <si>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</si>
  <si>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</si>
  <si>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</si>
  <si>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</si>
  <si>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</si>
  <si>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</si>
  <si>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</si>
  <si>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</si>
  <si>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</si>
  <si>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</si>
  <si>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</si>
  <si>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</si>
  <si>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</si>
  <si>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</si>
  <si>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</si>
  <si>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</si>
  <si>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</si>
  <si>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</si>
  <si>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</si>
  <si>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</si>
  <si>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</si>
  <si>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</si>
  <si>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</si>
  <si>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</si>
  <si>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</si>
  <si>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</si>
  <si>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</si>
  <si>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</si>
  <si>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</si>
  <si>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</si>
  <si>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</si>
  <si>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</si>
  <si>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</si>
  <si>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</si>
  <si>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</si>
  <si>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</si>
  <si>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</si>
  <si>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</si>
  <si>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</si>
  <si>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</si>
  <si>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</si>
  <si>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</si>
  <si>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</si>
  <si>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</si>
  <si>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</si>
  <si>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</si>
  <si>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</si>
  <si>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</si>
  <si>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</si>
  <si>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</si>
  <si>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</si>
  <si>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</si>
  <si>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</si>
  <si>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</si>
  <si>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</si>
  <si>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</si>
  <si>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</si>
  <si>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</si>
  <si>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</si>
  <si>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</si>
  <si>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</si>
  <si>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</si>
  <si>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</si>
  <si>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</si>
  <si>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</si>
  <si>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</si>
  <si>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</si>
  <si>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</si>
  <si>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</si>
  <si>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</si>
  <si>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</si>
  <si>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</si>
  <si>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</si>
  <si>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</si>
  <si>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</si>
  <si>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</si>
  <si>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</si>
  <si>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</si>
  <si>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</si>
  <si>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</si>
  <si>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</si>
  <si>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</si>
  <si>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</si>
  <si>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</si>
  <si>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</si>
  <si>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</si>
  <si>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</si>
  <si>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</si>
  <si>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</si>
  <si>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</si>
  <si>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</si>
  <si>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</si>
  <si>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</si>
  <si>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</si>
  <si>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</si>
  <si>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</si>
  <si>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</si>
  <si>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</si>
  <si>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</si>
  <si>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</si>
  <si>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</si>
  <si>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</si>
  <si>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</si>
  <si>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</si>
  <si>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</si>
  <si>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</si>
  <si>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</si>
  <si>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</si>
  <si>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</si>
  <si>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</si>
  <si>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</si>
  <si>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</si>
  <si>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</si>
  <si>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</si>
  <si>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</si>
  <si>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</si>
  <si>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</si>
  <si>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</si>
  <si>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</si>
  <si>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</si>
  <si>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</si>
  <si>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</si>
  <si>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</si>
  <si>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</si>
  <si>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</si>
  <si>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</si>
  <si>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</si>
  <si>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</si>
  <si>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</si>
  <si>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</si>
  <si>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</si>
  <si>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</si>
  <si>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</si>
  <si>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</si>
  <si>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</si>
  <si>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</si>
  <si>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</si>
  <si>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</si>
  <si>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</si>
  <si>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</si>
  <si>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</si>
  <si>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</si>
  <si>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</si>
  <si>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</si>
  <si>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</si>
  <si>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</si>
  <si>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</si>
  <si>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</si>
  <si>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</si>
  <si>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</si>
  <si>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</si>
  <si>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</si>
  <si>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</si>
  <si>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</si>
  <si>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</si>
  <si>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</si>
  <si>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</si>
  <si>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</si>
  <si>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</si>
  <si>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</si>
  <si>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</si>
  <si>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</si>
  <si>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</si>
  <si>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</si>
  <si>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</si>
  <si>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</si>
  <si>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</si>
  <si>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</si>
  <si>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</si>
  <si>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</si>
  <si>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</si>
  <si>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</si>
  <si>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</si>
  <si>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</si>
  <si>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</si>
  <si>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</si>
  <si>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</si>
  <si>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</si>
  <si>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</si>
  <si>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</si>
  <si>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</si>
  <si>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</si>
  <si>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</si>
  <si>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</si>
  <si>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</si>
  <si>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</si>
  <si>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</si>
  <si>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</si>
  <si>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</si>
  <si>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</si>
  <si>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</si>
  <si>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</si>
  <si>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</si>
  <si>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</si>
  <si>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</si>
  <si>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</si>
  <si>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</si>
  <si>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</si>
  <si>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</si>
  <si>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</si>
  <si>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</si>
  <si>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</si>
  <si>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</si>
  <si>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</si>
  <si>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</si>
  <si>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</si>
  <si>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</si>
  <si>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</si>
  <si>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</si>
  <si>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</si>
  <si>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</si>
  <si>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</si>
  <si>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</si>
  <si>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</si>
  <si>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</si>
  <si>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</si>
  <si>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</si>
  <si>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</si>
  <si>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</si>
  <si>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</si>
  <si>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</si>
  <si>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</si>
  <si>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</si>
  <si>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</si>
  <si>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</si>
  <si>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</si>
  <si>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</si>
  <si>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</si>
  <si>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</si>
  <si>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</si>
  <si>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</si>
  <si>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</si>
  <si>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</si>
  <si>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</si>
  <si>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</si>
  <si>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</si>
  <si>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</si>
  <si>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</si>
  <si>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</si>
  <si>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</si>
  <si>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</si>
  <si>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</si>
  <si>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</si>
  <si>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</si>
  <si>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</si>
  <si>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</si>
  <si>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</si>
  <si>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</si>
  <si>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</si>
  <si>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</si>
  <si>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</si>
  <si>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</si>
  <si>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</si>
  <si>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</si>
  <si>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</si>
  <si>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</si>
  <si>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</si>
  <si>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</si>
  <si>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</si>
  <si>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</si>
  <si>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</si>
  <si>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</si>
  <si>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</si>
  <si>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</si>
  <si>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</si>
  <si>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</si>
  <si>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</si>
  <si>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</si>
  <si>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</si>
  <si>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</si>
  <si>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</si>
  <si>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</si>
  <si>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</si>
  <si>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</si>
  <si>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</si>
  <si>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</si>
  <si>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</si>
  <si>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</si>
  <si>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</si>
  <si>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</si>
  <si>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</si>
  <si>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</si>
  <si>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</si>
  <si>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</si>
  <si>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</si>
  <si>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</si>
  <si>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</si>
  <si>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</si>
  <si>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</si>
  <si>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</si>
  <si>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</si>
  <si>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</si>
  <si>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</si>
  <si>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</si>
  <si>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</si>
  <si>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</si>
  <si>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</si>
  <si>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</si>
  <si>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</si>
  <si>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</si>
  <si>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</si>
  <si>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</si>
  <si>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</si>
  <si>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</si>
  <si>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</si>
  <si>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</si>
  <si>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</si>
  <si>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</si>
  <si>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</si>
  <si>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</si>
  <si>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</si>
  <si>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</si>
  <si>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</si>
  <si>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</si>
  <si>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</si>
  <si>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</si>
  <si>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</si>
  <si>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</si>
  <si>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</si>
  <si>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</si>
  <si>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</si>
  <si>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</si>
  <si>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</si>
  <si>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</si>
  <si>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</si>
  <si>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</si>
  <si>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</si>
  <si>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</si>
  <si>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</si>
  <si>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</si>
  <si>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</si>
  <si>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</si>
  <si>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</si>
  <si>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</si>
  <si>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</si>
  <si>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</si>
  <si>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</si>
  <si>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</si>
  <si>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</si>
  <si>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</si>
  <si>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</si>
  <si>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</si>
  <si>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</si>
  <si>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</si>
  <si>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</si>
  <si>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</si>
  <si>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</si>
  <si>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</si>
  <si>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</si>
  <si>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</si>
  <si>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</si>
  <si>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</si>
  <si>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</si>
  <si>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</si>
  <si>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</si>
  <si>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</si>
  <si>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</si>
  <si>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</si>
  <si>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</si>
  <si>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</si>
  <si>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</si>
  <si>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</si>
  <si>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</si>
  <si>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</si>
  <si>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</si>
  <si>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</si>
  <si>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</si>
  <si>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</si>
  <si>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</si>
  <si>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</si>
  <si>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</si>
  <si>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</si>
  <si>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</si>
  <si>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</si>
  <si>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</si>
  <si>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</si>
  <si>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</si>
  <si>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</si>
  <si>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</si>
  <si>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</si>
  <si>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</si>
  <si>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</si>
  <si>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</si>
  <si>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</si>
  <si>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</si>
  <si>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</si>
  <si>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</si>
  <si>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</si>
  <si>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</si>
  <si>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</si>
  <si>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</si>
  <si>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</si>
  <si>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</si>
  <si>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</si>
  <si>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</si>
  <si>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</si>
  <si>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</si>
  <si>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</si>
  <si>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</si>
  <si>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</si>
  <si>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</si>
  <si>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</si>
  <si>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</si>
  <si>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</si>
  <si>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</si>
  <si>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</si>
  <si>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</si>
  <si>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</si>
  <si>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</si>
  <si>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</si>
  <si>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</si>
  <si>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</si>
  <si>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</si>
  <si>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</si>
  <si>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</si>
  <si>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</si>
  <si>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</si>
  <si>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</si>
  <si>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</si>
  <si>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</si>
  <si>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</si>
  <si>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</si>
  <si>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</si>
  <si>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</si>
  <si>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</si>
  <si>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</si>
  <si>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</si>
  <si>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</si>
  <si>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</si>
  <si>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</si>
  <si>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</si>
  <si>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</si>
  <si>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</si>
  <si>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</si>
  <si>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</si>
  <si>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34023</t>
  </si>
  <si>
    <t>KUURNE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</si>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</sst>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92825.113085427351</c:v>
                </c:pt>
                <c:pt idx="1">
                  <c:v>47086.395861422534</c:v>
                </c:pt>
                <c:pt idx="2">
                  <c:v>894.31500000000005</c:v>
                </c:pt>
                <c:pt idx="3">
                  <c:v>1008.2739377086522</c:v>
                </c:pt>
                <c:pt idx="4">
                  <c:v>49548.728456446879</c:v>
                </c:pt>
                <c:pt idx="5">
                  <c:v>42292.851606480537</c:v>
                </c:pt>
                <c:pt idx="6">
                  <c:v>1057.0550652543513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92825.113085427351</c:v>
                </c:pt>
                <c:pt idx="1">
                  <c:v>47086.395861422534</c:v>
                </c:pt>
                <c:pt idx="2">
                  <c:v>894.31500000000005</c:v>
                </c:pt>
                <c:pt idx="3">
                  <c:v>1008.2739377086522</c:v>
                </c:pt>
                <c:pt idx="4">
                  <c:v>49548.728456446879</c:v>
                </c:pt>
                <c:pt idx="5">
                  <c:v>42292.851606480537</c:v>
                </c:pt>
                <c:pt idx="6">
                  <c:v>1057.0550652543513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16582.755561619819</c:v>
                </c:pt>
                <c:pt idx="2">
                  <c:v>9465.1604164540149</c:v>
                </c:pt>
                <c:pt idx="3">
                  <c:v>178.05003752742198</c:v>
                </c:pt>
                <c:pt idx="4">
                  <c:v>255.66758909584482</c:v>
                </c:pt>
                <c:pt idx="5">
                  <c:v>9495.9170033374467</c:v>
                </c:pt>
                <c:pt idx="6">
                  <c:v>10585.683589882525</c:v>
                </c:pt>
                <c:pt idx="7">
                  <c:v>267.06555772541265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16582.755561619819</c:v>
                </c:pt>
                <c:pt idx="2">
                  <c:v>9465.1604164540149</c:v>
                </c:pt>
                <c:pt idx="3">
                  <c:v>178.05003752742198</c:v>
                </c:pt>
                <c:pt idx="4">
                  <c:v>255.66758909584482</c:v>
                </c:pt>
                <c:pt idx="5">
                  <c:v>9495.9170033374467</c:v>
                </c:pt>
                <c:pt idx="6">
                  <c:v>10585.683589882525</c:v>
                </c:pt>
                <c:pt idx="7">
                  <c:v>267.06555772541265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34023</v>
      </c>
      <c r="B6" s="415"/>
      <c r="C6" s="416"/>
    </row>
    <row r="7" spans="1:7" s="413" customFormat="1" ht="15.75" customHeight="1">
      <c r="A7" s="417" t="str">
        <f>txtMunicipality</f>
        <v>KUURNE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0.19909096630093642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0.19909096630093642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5550</v>
      </c>
      <c r="C9" s="342">
        <v>5625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276.83999999999997</v>
      </c>
    </row>
    <row r="15" spans="1:6">
      <c r="A15" s="348" t="s">
        <v>184</v>
      </c>
      <c r="B15" s="334">
        <v>3</v>
      </c>
    </row>
    <row r="16" spans="1:6">
      <c r="A16" s="348" t="s">
        <v>6</v>
      </c>
      <c r="B16" s="334">
        <v>59</v>
      </c>
    </row>
    <row r="17" spans="1:6">
      <c r="A17" s="348" t="s">
        <v>7</v>
      </c>
      <c r="B17" s="334">
        <v>125</v>
      </c>
    </row>
    <row r="18" spans="1:6">
      <c r="A18" s="348" t="s">
        <v>8</v>
      </c>
      <c r="B18" s="334">
        <v>177</v>
      </c>
    </row>
    <row r="19" spans="1:6">
      <c r="A19" s="348" t="s">
        <v>9</v>
      </c>
      <c r="B19" s="334">
        <v>154</v>
      </c>
    </row>
    <row r="20" spans="1:6">
      <c r="A20" s="348" t="s">
        <v>10</v>
      </c>
      <c r="B20" s="334">
        <v>116</v>
      </c>
    </row>
    <row r="21" spans="1:6">
      <c r="A21" s="348" t="s">
        <v>11</v>
      </c>
      <c r="B21" s="334">
        <v>0</v>
      </c>
    </row>
    <row r="22" spans="1:6">
      <c r="A22" s="348" t="s">
        <v>12</v>
      </c>
      <c r="B22" s="334">
        <v>233</v>
      </c>
    </row>
    <row r="23" spans="1:6">
      <c r="A23" s="348" t="s">
        <v>13</v>
      </c>
      <c r="B23" s="334">
        <v>0</v>
      </c>
    </row>
    <row r="24" spans="1:6">
      <c r="A24" s="348" t="s">
        <v>14</v>
      </c>
      <c r="B24" s="334">
        <v>0</v>
      </c>
    </row>
    <row r="25" spans="1:6">
      <c r="A25" s="348" t="s">
        <v>15</v>
      </c>
      <c r="B25" s="334">
        <v>0</v>
      </c>
    </row>
    <row r="26" spans="1:6">
      <c r="A26" s="348" t="s">
        <v>16</v>
      </c>
      <c r="B26" s="334">
        <v>5</v>
      </c>
    </row>
    <row r="27" spans="1:6">
      <c r="A27" s="348" t="s">
        <v>17</v>
      </c>
      <c r="B27" s="334">
        <v>0</v>
      </c>
    </row>
    <row r="28" spans="1:6" s="356" customFormat="1">
      <c r="A28" s="355" t="s">
        <v>18</v>
      </c>
      <c r="B28" s="355">
        <v>0</v>
      </c>
    </row>
    <row r="29" spans="1:6">
      <c r="A29" s="355" t="s">
        <v>744</v>
      </c>
      <c r="B29" s="355">
        <v>19</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24037.8003944343</v>
      </c>
      <c r="E38" s="334">
        <v>4</v>
      </c>
      <c r="F38" s="334">
        <v>44469.9678650075</v>
      </c>
    </row>
    <row r="39" spans="1:6">
      <c r="A39" s="348" t="s">
        <v>30</v>
      </c>
      <c r="B39" s="348" t="s">
        <v>31</v>
      </c>
      <c r="C39" s="334">
        <v>4522</v>
      </c>
      <c r="D39" s="334">
        <v>65096328.9732088</v>
      </c>
      <c r="E39" s="334">
        <v>5423</v>
      </c>
      <c r="F39" s="334">
        <v>17161318.404366199</v>
      </c>
    </row>
    <row r="40" spans="1:6">
      <c r="A40" s="348" t="s">
        <v>30</v>
      </c>
      <c r="B40" s="348" t="s">
        <v>29</v>
      </c>
      <c r="C40" s="334">
        <v>0</v>
      </c>
      <c r="D40" s="334">
        <v>0</v>
      </c>
      <c r="E40" s="334">
        <v>0</v>
      </c>
      <c r="F40" s="334">
        <v>0</v>
      </c>
    </row>
    <row r="41" spans="1:6">
      <c r="A41" s="348" t="s">
        <v>32</v>
      </c>
      <c r="B41" s="348" t="s">
        <v>33</v>
      </c>
      <c r="C41" s="334">
        <v>106</v>
      </c>
      <c r="D41" s="334">
        <v>2826638.8896372202</v>
      </c>
      <c r="E41" s="334">
        <v>192</v>
      </c>
      <c r="F41" s="334">
        <v>1544015.46645378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21</v>
      </c>
      <c r="F44" s="334">
        <v>1462423.96809691</v>
      </c>
    </row>
    <row r="45" spans="1:6">
      <c r="A45" s="348" t="s">
        <v>32</v>
      </c>
      <c r="B45" s="348" t="s">
        <v>37</v>
      </c>
      <c r="C45" s="334">
        <v>0</v>
      </c>
      <c r="D45" s="334">
        <v>0</v>
      </c>
      <c r="E45" s="334">
        <v>3</v>
      </c>
      <c r="F45" s="334">
        <v>30208.846852261599</v>
      </c>
    </row>
    <row r="46" spans="1:6">
      <c r="A46" s="348" t="s">
        <v>32</v>
      </c>
      <c r="B46" s="348" t="s">
        <v>38</v>
      </c>
      <c r="C46" s="334">
        <v>0</v>
      </c>
      <c r="D46" s="334">
        <v>0</v>
      </c>
      <c r="E46" s="334">
        <v>0</v>
      </c>
      <c r="F46" s="334">
        <v>0</v>
      </c>
    </row>
    <row r="47" spans="1:6">
      <c r="A47" s="348" t="s">
        <v>32</v>
      </c>
      <c r="B47" s="348" t="s">
        <v>39</v>
      </c>
      <c r="C47" s="334">
        <v>3</v>
      </c>
      <c r="D47" s="334">
        <v>80031.895457907303</v>
      </c>
      <c r="E47" s="334">
        <v>3</v>
      </c>
      <c r="F47" s="334">
        <v>24826.203834461001</v>
      </c>
    </row>
    <row r="48" spans="1:6">
      <c r="A48" s="348" t="s">
        <v>32</v>
      </c>
      <c r="B48" s="348" t="s">
        <v>29</v>
      </c>
      <c r="C48" s="334">
        <v>51</v>
      </c>
      <c r="D48" s="334">
        <v>21346366.813418198</v>
      </c>
      <c r="E48" s="334">
        <v>44</v>
      </c>
      <c r="F48" s="334">
        <v>14229558.6223947</v>
      </c>
    </row>
    <row r="49" spans="1:6">
      <c r="A49" s="348" t="s">
        <v>32</v>
      </c>
      <c r="B49" s="348" t="s">
        <v>40</v>
      </c>
      <c r="C49" s="334">
        <v>0</v>
      </c>
      <c r="D49" s="334">
        <v>0</v>
      </c>
      <c r="E49" s="334">
        <v>8</v>
      </c>
      <c r="F49" s="334">
        <v>193549.09993583101</v>
      </c>
    </row>
    <row r="50" spans="1:6">
      <c r="A50" s="348" t="s">
        <v>32</v>
      </c>
      <c r="B50" s="348" t="s">
        <v>41</v>
      </c>
      <c r="C50" s="334">
        <v>4</v>
      </c>
      <c r="D50" s="334">
        <v>365840.51768009103</v>
      </c>
      <c r="E50" s="334">
        <v>13</v>
      </c>
      <c r="F50" s="334">
        <v>454475.38063865103</v>
      </c>
    </row>
    <row r="51" spans="1:6">
      <c r="A51" s="348" t="s">
        <v>42</v>
      </c>
      <c r="B51" s="348" t="s">
        <v>43</v>
      </c>
      <c r="C51" s="334">
        <v>0</v>
      </c>
      <c r="D51" s="334">
        <v>0</v>
      </c>
      <c r="E51" s="334">
        <v>14</v>
      </c>
      <c r="F51" s="334">
        <v>168571.03374479001</v>
      </c>
    </row>
    <row r="52" spans="1:6">
      <c r="A52" s="348" t="s">
        <v>42</v>
      </c>
      <c r="B52" s="348" t="s">
        <v>29</v>
      </c>
      <c r="C52" s="334">
        <v>4</v>
      </c>
      <c r="D52" s="334">
        <v>58619.478594428801</v>
      </c>
      <c r="E52" s="334">
        <v>3</v>
      </c>
      <c r="F52" s="334">
        <v>10335.379807206</v>
      </c>
    </row>
    <row r="53" spans="1:6">
      <c r="A53" s="348" t="s">
        <v>44</v>
      </c>
      <c r="B53" s="348" t="s">
        <v>45</v>
      </c>
      <c r="C53" s="334">
        <v>96</v>
      </c>
      <c r="D53" s="334">
        <v>7388673.18000858</v>
      </c>
      <c r="E53" s="334">
        <v>168</v>
      </c>
      <c r="F53" s="334">
        <v>604771.84320171701</v>
      </c>
    </row>
    <row r="54" spans="1:6">
      <c r="A54" s="348" t="s">
        <v>46</v>
      </c>
      <c r="B54" s="348" t="s">
        <v>47</v>
      </c>
      <c r="C54" s="334">
        <v>0</v>
      </c>
      <c r="D54" s="334">
        <v>0</v>
      </c>
      <c r="E54" s="334">
        <v>1</v>
      </c>
      <c r="F54" s="334">
        <v>894315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1262547.7482769699</v>
      </c>
      <c r="E57" s="334">
        <v>53</v>
      </c>
      <c r="F57" s="334">
        <v>785099.91022863798</v>
      </c>
    </row>
    <row r="58" spans="1:6">
      <c r="A58" s="348" t="s">
        <v>49</v>
      </c>
      <c r="B58" s="348" t="s">
        <v>51</v>
      </c>
      <c r="C58" s="334">
        <v>11</v>
      </c>
      <c r="D58" s="334">
        <v>561343.29706008604</v>
      </c>
      <c r="E58" s="334">
        <v>35</v>
      </c>
      <c r="F58" s="334">
        <v>3156028.6876189602</v>
      </c>
    </row>
    <row r="59" spans="1:6">
      <c r="A59" s="348" t="s">
        <v>49</v>
      </c>
      <c r="B59" s="348" t="s">
        <v>52</v>
      </c>
      <c r="C59" s="334">
        <v>133</v>
      </c>
      <c r="D59" s="334">
        <v>6828375.5171611402</v>
      </c>
      <c r="E59" s="334">
        <v>228</v>
      </c>
      <c r="F59" s="334">
        <v>7592056.64668757</v>
      </c>
    </row>
    <row r="60" spans="1:6">
      <c r="A60" s="348" t="s">
        <v>49</v>
      </c>
      <c r="B60" s="348" t="s">
        <v>53</v>
      </c>
      <c r="C60" s="334">
        <v>52</v>
      </c>
      <c r="D60" s="334">
        <v>2642505.7177108098</v>
      </c>
      <c r="E60" s="334">
        <v>61</v>
      </c>
      <c r="F60" s="334">
        <v>1863712.70455383</v>
      </c>
    </row>
    <row r="61" spans="1:6">
      <c r="A61" s="348" t="s">
        <v>49</v>
      </c>
      <c r="B61" s="348" t="s">
        <v>54</v>
      </c>
      <c r="C61" s="334">
        <v>120</v>
      </c>
      <c r="D61" s="334">
        <v>2423937.35643881</v>
      </c>
      <c r="E61" s="334">
        <v>280</v>
      </c>
      <c r="F61" s="334">
        <v>3633618.96138422</v>
      </c>
    </row>
    <row r="62" spans="1:6">
      <c r="A62" s="348" t="s">
        <v>49</v>
      </c>
      <c r="B62" s="348" t="s">
        <v>55</v>
      </c>
      <c r="C62" s="334">
        <v>34</v>
      </c>
      <c r="D62" s="334">
        <v>3123478.2085039299</v>
      </c>
      <c r="E62" s="334">
        <v>7</v>
      </c>
      <c r="F62" s="334">
        <v>91105.276460274501</v>
      </c>
    </row>
    <row r="63" spans="1:6">
      <c r="A63" s="348" t="s">
        <v>49</v>
      </c>
      <c r="B63" s="348" t="s">
        <v>29</v>
      </c>
      <c r="C63" s="334">
        <v>110</v>
      </c>
      <c r="D63" s="334">
        <v>6894058.8996738698</v>
      </c>
      <c r="E63" s="334">
        <v>112</v>
      </c>
      <c r="F63" s="334">
        <v>3542731.0903562601</v>
      </c>
    </row>
    <row r="64" spans="1:6">
      <c r="A64" s="348" t="s">
        <v>56</v>
      </c>
      <c r="B64" s="348" t="s">
        <v>57</v>
      </c>
      <c r="C64" s="334">
        <v>0</v>
      </c>
      <c r="D64" s="334">
        <v>0</v>
      </c>
      <c r="E64" s="334">
        <v>0</v>
      </c>
      <c r="F64" s="334">
        <v>0</v>
      </c>
    </row>
    <row r="65" spans="1:6">
      <c r="A65" s="348" t="s">
        <v>56</v>
      </c>
      <c r="B65" s="348" t="s">
        <v>29</v>
      </c>
      <c r="C65" s="334">
        <v>0</v>
      </c>
      <c r="D65" s="334">
        <v>0</v>
      </c>
      <c r="E65" s="334">
        <v>3</v>
      </c>
      <c r="F65" s="334">
        <v>11059.258753148501</v>
      </c>
    </row>
    <row r="66" spans="1:6">
      <c r="A66" s="348" t="s">
        <v>56</v>
      </c>
      <c r="B66" s="348" t="s">
        <v>58</v>
      </c>
      <c r="C66" s="334">
        <v>0</v>
      </c>
      <c r="D66" s="334">
        <v>0</v>
      </c>
      <c r="E66" s="334">
        <v>10</v>
      </c>
      <c r="F66" s="334">
        <v>52868.457877332403</v>
      </c>
    </row>
    <row r="67" spans="1:6">
      <c r="A67" s="355" t="s">
        <v>56</v>
      </c>
      <c r="B67" s="355" t="s">
        <v>59</v>
      </c>
      <c r="C67" s="334">
        <v>0</v>
      </c>
      <c r="D67" s="334">
        <v>0</v>
      </c>
      <c r="E67" s="334">
        <v>0</v>
      </c>
      <c r="F67" s="334">
        <v>0</v>
      </c>
    </row>
    <row r="68" spans="1:6">
      <c r="A68" s="341" t="s">
        <v>56</v>
      </c>
      <c r="B68" s="341" t="s">
        <v>60</v>
      </c>
      <c r="C68" s="334">
        <v>3</v>
      </c>
      <c r="D68" s="334">
        <v>34766.592866886203</v>
      </c>
      <c r="E68" s="334">
        <v>5</v>
      </c>
      <c r="F68" s="334">
        <v>312068.248959116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27439465</v>
      </c>
      <c r="E73" s="475">
        <v>30893430.773253229</v>
      </c>
    </row>
    <row r="74" spans="1:6">
      <c r="A74" s="348" t="s">
        <v>64</v>
      </c>
      <c r="B74" s="348" t="s">
        <v>657</v>
      </c>
      <c r="C74" s="1295" t="s">
        <v>659</v>
      </c>
      <c r="D74" s="475">
        <v>3343424.5</v>
      </c>
      <c r="E74" s="475">
        <v>3656125.8588011861</v>
      </c>
    </row>
    <row r="75" spans="1:6">
      <c r="A75" s="348" t="s">
        <v>65</v>
      </c>
      <c r="B75" s="348" t="s">
        <v>656</v>
      </c>
      <c r="C75" s="1295" t="s">
        <v>660</v>
      </c>
      <c r="D75" s="475">
        <v>15101293</v>
      </c>
      <c r="E75" s="475">
        <v>16975289.484813295</v>
      </c>
    </row>
    <row r="76" spans="1:6">
      <c r="A76" s="348" t="s">
        <v>65</v>
      </c>
      <c r="B76" s="348" t="s">
        <v>657</v>
      </c>
      <c r="C76" s="1295" t="s">
        <v>661</v>
      </c>
      <c r="D76" s="475">
        <v>897679.5</v>
      </c>
      <c r="E76" s="475">
        <v>1183717.2181076608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286691</v>
      </c>
      <c r="C83" s="475">
        <v>286451.18966351543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2453.4827545496801</v>
      </c>
    </row>
    <row r="92" spans="1:6">
      <c r="A92" s="341" t="s">
        <v>69</v>
      </c>
      <c r="B92" s="342">
        <v>3486.0405143283169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3195</v>
      </c>
    </row>
    <row r="98" spans="1:6">
      <c r="A98" s="348" t="s">
        <v>72</v>
      </c>
      <c r="B98" s="334">
        <v>0</v>
      </c>
    </row>
    <row r="99" spans="1:6">
      <c r="A99" s="348" t="s">
        <v>73</v>
      </c>
      <c r="B99" s="334">
        <v>60</v>
      </c>
    </row>
    <row r="100" spans="1:6">
      <c r="A100" s="348" t="s">
        <v>74</v>
      </c>
      <c r="B100" s="334">
        <v>247</v>
      </c>
    </row>
    <row r="101" spans="1:6">
      <c r="A101" s="348" t="s">
        <v>75</v>
      </c>
      <c r="B101" s="334">
        <v>51</v>
      </c>
    </row>
    <row r="102" spans="1:6">
      <c r="A102" s="348" t="s">
        <v>76</v>
      </c>
      <c r="B102" s="334">
        <v>81</v>
      </c>
    </row>
    <row r="103" spans="1:6">
      <c r="A103" s="348" t="s">
        <v>77</v>
      </c>
      <c r="B103" s="334">
        <v>88</v>
      </c>
    </row>
    <row r="104" spans="1:6">
      <c r="A104" s="348" t="s">
        <v>78</v>
      </c>
      <c r="B104" s="334">
        <v>1163</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4</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117</v>
      </c>
    </row>
    <row r="130" spans="1:6">
      <c r="A130" s="348" t="s">
        <v>295</v>
      </c>
      <c r="B130" s="334">
        <v>3</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59912.940956320694</v>
      </c>
      <c r="C3" s="43" t="s">
        <v>170</v>
      </c>
      <c r="D3" s="43"/>
      <c r="E3" s="154"/>
      <c r="F3" s="43"/>
      <c r="G3" s="43"/>
      <c r="H3" s="43"/>
      <c r="I3" s="43"/>
      <c r="J3" s="43"/>
      <c r="K3" s="96"/>
    </row>
    <row r="4" spans="1:11">
      <c r="A4" s="383" t="s">
        <v>171</v>
      </c>
      <c r="B4" s="49">
        <f>IF(ISERROR('SEAP template'!B78+'SEAP template'!C78),0,'SEAP template'!B78+'SEAP template'!C78)</f>
        <v>5939.523268877997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0.19909096630093642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894.31500000000005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894.31500000000005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0.19909096630093642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178.05003752742198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17161.3184043662</v>
      </c>
      <c r="C5" s="17">
        <f>IF(ISERROR('Eigen informatie GS &amp; warmtenet'!B57),0,'Eigen informatie GS &amp; warmtenet'!B57)</f>
        <v>0</v>
      </c>
      <c r="D5" s="30">
        <f>(SUM(HH_hh_gas_kWh,HH_rest_gas_kWh)/1000)*0.902</f>
        <v>58716.888733834341</v>
      </c>
      <c r="E5" s="17">
        <f>B46*B57</f>
        <v>3598.3009729338783</v>
      </c>
      <c r="F5" s="17">
        <f>B51*B62</f>
        <v>0</v>
      </c>
      <c r="G5" s="18"/>
      <c r="H5" s="17"/>
      <c r="I5" s="17"/>
      <c r="J5" s="17">
        <f>B50*B61+C50*C61</f>
        <v>0</v>
      </c>
      <c r="K5" s="17"/>
      <c r="L5" s="17"/>
      <c r="M5" s="17"/>
      <c r="N5" s="17">
        <f>B48*B59+C48*C59</f>
        <v>10423.392219743257</v>
      </c>
      <c r="O5" s="17">
        <f>B69*B70*B71</f>
        <v>204.79666666666668</v>
      </c>
      <c r="P5" s="17">
        <f>B77*B78*B79/1000-B77*B78*B79/1000/B80</f>
        <v>266.93333333333334</v>
      </c>
    </row>
    <row r="6" spans="1:16">
      <c r="A6" s="16" t="s">
        <v>621</v>
      </c>
      <c r="B6" s="788">
        <f>kWh_PV_kleiner_dan_10kW</f>
        <v>2453.4827545496801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19614.801158915881</v>
      </c>
      <c r="C8" s="21">
        <f>C5</f>
        <v>0</v>
      </c>
      <c r="D8" s="21">
        <f>D5</f>
        <v>58716.888733834341</v>
      </c>
      <c r="E8" s="21">
        <f>E5</f>
        <v>3598.3009729338783</v>
      </c>
      <c r="F8" s="21">
        <f>F5</f>
        <v>0</v>
      </c>
      <c r="G8" s="21"/>
      <c r="H8" s="21"/>
      <c r="I8" s="21"/>
      <c r="J8" s="21">
        <f>J5</f>
        <v>0</v>
      </c>
      <c r="K8" s="21"/>
      <c r="L8" s="21">
        <f>L5</f>
        <v>0</v>
      </c>
      <c r="M8" s="21">
        <f>M5</f>
        <v>0</v>
      </c>
      <c r="N8" s="21">
        <f>N5</f>
        <v>10423.392219743257</v>
      </c>
      <c r="O8" s="21">
        <f>O5</f>
        <v>204.79666666666668</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0.19909096630093642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3905.1297165292904</v>
      </c>
      <c r="C12" s="23">
        <f ca="1">C10*C8</f>
        <v>0</v>
      </c>
      <c r="D12" s="23">
        <f>D8*D10</f>
        <v>11860.811524234538</v>
      </c>
      <c r="E12" s="23">
        <f>E10*E8</f>
        <v>816.81432085599045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3195</v>
      </c>
      <c r="C18" s="166" t="s">
        <v>111</v>
      </c>
      <c r="D18" s="228"/>
      <c r="E18" s="15"/>
    </row>
    <row r="19" spans="1:7">
      <c r="A19" s="171" t="s">
        <v>72</v>
      </c>
      <c r="B19" s="37">
        <f>aantalw2001_ander</f>
        <v>0</v>
      </c>
      <c r="C19" s="166" t="s">
        <v>111</v>
      </c>
      <c r="D19" s="229"/>
      <c r="E19" s="15"/>
    </row>
    <row r="20" spans="1:7">
      <c r="A20" s="171" t="s">
        <v>73</v>
      </c>
      <c r="B20" s="37">
        <f>aantalw2001_propaan</f>
        <v>60</v>
      </c>
      <c r="C20" s="167">
        <f>IF(ISERROR(B20/SUM($B$20,$B$21,$B$22)*100),0,B20/SUM($B$20,$B$21,$B$22)*100)</f>
        <v>16.759776536312849</v>
      </c>
      <c r="D20" s="229"/>
      <c r="E20" s="15"/>
    </row>
    <row r="21" spans="1:7">
      <c r="A21" s="171" t="s">
        <v>74</v>
      </c>
      <c r="B21" s="37">
        <f>aantalw2001_elektriciteit</f>
        <v>247</v>
      </c>
      <c r="C21" s="167">
        <f>IF(ISERROR(B21/SUM($B$20,$B$21,$B$22)*100),0,B21/SUM($B$20,$B$21,$B$22)*100)</f>
        <v>68.994413407821227</v>
      </c>
      <c r="D21" s="229"/>
      <c r="E21" s="15"/>
    </row>
    <row r="22" spans="1:7">
      <c r="A22" s="171" t="s">
        <v>75</v>
      </c>
      <c r="B22" s="37">
        <f>aantalw2001_hout</f>
        <v>51</v>
      </c>
      <c r="C22" s="167">
        <f>IF(ISERROR(B22/SUM($B$20,$B$21,$B$22)*100),0,B22/SUM($B$20,$B$21,$B$22)*100)</f>
        <v>14.24581005586592</v>
      </c>
      <c r="D22" s="229"/>
      <c r="E22" s="15"/>
    </row>
    <row r="23" spans="1:7">
      <c r="A23" s="171" t="s">
        <v>76</v>
      </c>
      <c r="B23" s="37">
        <f>aantalw2001_niet_gespec</f>
        <v>81</v>
      </c>
      <c r="C23" s="166" t="s">
        <v>111</v>
      </c>
      <c r="D23" s="228"/>
      <c r="E23" s="15"/>
    </row>
    <row r="24" spans="1:7">
      <c r="A24" s="171" t="s">
        <v>77</v>
      </c>
      <c r="B24" s="37">
        <f>aantalw2001_steenkool</f>
        <v>88</v>
      </c>
      <c r="C24" s="166" t="s">
        <v>111</v>
      </c>
      <c r="D24" s="229"/>
      <c r="E24" s="15"/>
    </row>
    <row r="25" spans="1:7">
      <c r="A25" s="171" t="s">
        <v>78</v>
      </c>
      <c r="B25" s="37">
        <f>aantalw2001_stookolie</f>
        <v>1163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5550</v>
      </c>
      <c r="C28" s="36"/>
      <c r="D28" s="228"/>
    </row>
    <row r="29" spans="1:7" s="15" customFormat="1">
      <c r="A29" s="230" t="s">
        <v>794</v>
      </c>
      <c r="B29" s="37">
        <f>SUM(HH_hh_gas_aantal,HH_rest_gas_aantal)</f>
        <v>4522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4522</v>
      </c>
      <c r="C32" s="167">
        <f>IF(ISERROR(B32/SUM($B$32,$B$34,$B$35,$B$36,$B$38,$B$39)*100),0,B32/SUM($B$32,$B$34,$B$35,$B$36,$B$38,$B$39)*100)</f>
        <v>81.683526011560687</v>
      </c>
      <c r="D32" s="233"/>
      <c r="G32" s="15"/>
    </row>
    <row r="33" spans="1:7">
      <c r="A33" s="171" t="s">
        <v>72</v>
      </c>
      <c r="B33" s="34" t="s">
        <v>111</v>
      </c>
      <c r="C33" s="167"/>
      <c r="D33" s="233"/>
      <c r="G33" s="15"/>
    </row>
    <row r="34" spans="1:7">
      <c r="A34" s="171" t="s">
        <v>73</v>
      </c>
      <c r="B34" s="33">
        <f>IF((($B$28-$B$32-$B$39-$B$77-$B$38)*C20/100)&lt;0,0,($B$28-$B$32-$B$39-$B$77-$B$38)*C20/100)</f>
        <v>169.9441340782123</v>
      </c>
      <c r="C34" s="167">
        <f>IF(ISERROR(B34/SUM($B$32,$B$34,$B$35,$B$36,$B$38,$B$39)*100),0,B34/SUM($B$32,$B$34,$B$35,$B$36,$B$38,$B$39)*100)</f>
        <v>3.0698001097942971</v>
      </c>
      <c r="D34" s="233"/>
      <c r="G34" s="15"/>
    </row>
    <row r="35" spans="1:7">
      <c r="A35" s="171" t="s">
        <v>74</v>
      </c>
      <c r="B35" s="33">
        <f>IF((($B$28-$B$32-$B$39-$B$77-$B$38)*C21/100)&lt;0,0,($B$28-$B$32-$B$39-$B$77-$B$38)*C21/100)</f>
        <v>699.60335195530729</v>
      </c>
      <c r="C35" s="167">
        <f>IF(ISERROR(B35/SUM($B$32,$B$34,$B$35,$B$36,$B$38,$B$39)*100),0,B35/SUM($B$32,$B$34,$B$35,$B$36,$B$38,$B$39)*100)</f>
        <v>12.637343785319857</v>
      </c>
      <c r="D35" s="233"/>
      <c r="G35" s="15"/>
    </row>
    <row r="36" spans="1:7">
      <c r="A36" s="171" t="s">
        <v>75</v>
      </c>
      <c r="B36" s="33">
        <f>IF((($B$28-$B$32-$B$39-$B$77-$B$38)*C22/100)&lt;0,0,($B$28-$B$32-$B$39-$B$77-$B$38)*C22/100)</f>
        <v>144.45251396648044</v>
      </c>
      <c r="C36" s="167">
        <f>IF(ISERROR(B36/SUM($B$32,$B$34,$B$35,$B$36,$B$38,$B$39)*100),0,B36/SUM($B$32,$B$34,$B$35,$B$36,$B$38,$B$39)*100)</f>
        <v>2.6093300933251524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4522</v>
      </c>
      <c r="C44" s="34" t="s">
        <v>111</v>
      </c>
      <c r="D44" s="174"/>
    </row>
    <row r="45" spans="1:7">
      <c r="A45" s="171" t="s">
        <v>72</v>
      </c>
      <c r="B45" s="33" t="str">
        <f t="shared" si="0"/>
        <v>-</v>
      </c>
      <c r="C45" s="34" t="s">
        <v>111</v>
      </c>
      <c r="D45" s="174"/>
    </row>
    <row r="46" spans="1:7">
      <c r="A46" s="171" t="s">
        <v>73</v>
      </c>
      <c r="B46" s="33">
        <f t="shared" si="0"/>
        <v>169.9441340782123</v>
      </c>
      <c r="C46" s="34" t="s">
        <v>111</v>
      </c>
      <c r="D46" s="174"/>
    </row>
    <row r="47" spans="1:7">
      <c r="A47" s="171" t="s">
        <v>74</v>
      </c>
      <c r="B47" s="33">
        <f t="shared" si="0"/>
        <v>699.60335195530729</v>
      </c>
      <c r="C47" s="34" t="s">
        <v>111</v>
      </c>
      <c r="D47" s="174"/>
    </row>
    <row r="48" spans="1:7">
      <c r="A48" s="171" t="s">
        <v>75</v>
      </c>
      <c r="B48" s="33">
        <f t="shared" si="0"/>
        <v>144.45251396648044</v>
      </c>
      <c r="C48" s="33">
        <f>B48*10</f>
        <v>1444.5251396648043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20664.353277289756</v>
      </c>
      <c r="C5" s="17">
        <f>IF(ISERROR('Eigen informatie GS &amp; warmtenet'!B58),0,'Eigen informatie GS &amp; warmtenet'!B58)</f>
        <v>0</v>
      </c>
      <c r="D5" s="30">
        <f>SUM(D6:D12)</f>
        <v>21410.094563832707</v>
      </c>
      <c r="E5" s="17">
        <f>SUM(E6:E12)</f>
        <v>348.5754018486171</v>
      </c>
      <c r="F5" s="17">
        <f>SUM(F6:F12)</f>
        <v>3547.1893888038121</v>
      </c>
      <c r="G5" s="18"/>
      <c r="H5" s="17"/>
      <c r="I5" s="17"/>
      <c r="J5" s="17">
        <f>SUM(J6:J12)</f>
        <v>2.5620254285886712E-2</v>
      </c>
      <c r="K5" s="17"/>
      <c r="L5" s="17"/>
      <c r="M5" s="17"/>
      <c r="N5" s="17">
        <f>SUM(N6:N12)</f>
        <v>1073.3342760600212</v>
      </c>
      <c r="O5" s="17">
        <f>B38*B39*B40</f>
        <v>4.6900000000000004</v>
      </c>
      <c r="P5" s="17">
        <f>B46*B47*B48/1000-B46*B47*B48/1000/B49</f>
        <v>38.133333333333333</v>
      </c>
      <c r="R5" s="32"/>
    </row>
    <row r="6" spans="1:18">
      <c r="A6" s="32" t="s">
        <v>54</v>
      </c>
      <c r="B6" s="37">
        <f>B26</f>
        <v>3633.6189613842203</v>
      </c>
      <c r="C6" s="33"/>
      <c r="D6" s="37">
        <f>IF(ISERROR(TER_kantoor_gas_kWh/1000),0,TER_kantoor_gas_kWh/1000)*0.902</f>
        <v>2186.3914955078067</v>
      </c>
      <c r="E6" s="33">
        <f>$C$26*'E Balans VL '!I12/100/3.6*1000000</f>
        <v>2.2774315127222951E-2</v>
      </c>
      <c r="F6" s="33">
        <f>$C$26*('E Balans VL '!L12+'E Balans VL '!N12)/100/3.6*1000000</f>
        <v>546.03139689868328</v>
      </c>
      <c r="G6" s="34"/>
      <c r="H6" s="33"/>
      <c r="I6" s="33"/>
      <c r="J6" s="33">
        <f>$C$26*('E Balans VL '!D12+'E Balans VL '!E12)/100/3.6*1000000</f>
        <v>0</v>
      </c>
      <c r="K6" s="33"/>
      <c r="L6" s="33"/>
      <c r="M6" s="33"/>
      <c r="N6" s="33">
        <f>$C$26*'E Balans VL '!Y12/100/3.6*1000000</f>
        <v>3.4750177934290654</v>
      </c>
      <c r="O6" s="33"/>
      <c r="P6" s="33"/>
      <c r="R6" s="32"/>
    </row>
    <row r="7" spans="1:18">
      <c r="A7" s="32" t="s">
        <v>53</v>
      </c>
      <c r="B7" s="37">
        <f t="shared" ref="B7:B12" si="0">B27</f>
        <v>1863.71270455383</v>
      </c>
      <c r="C7" s="33"/>
      <c r="D7" s="37">
        <f>IF(ISERROR(TER_horeca_gas_kWh/1000),0,TER_horeca_gas_kWh/1000)*0.902</f>
        <v>2383.5401573751506</v>
      </c>
      <c r="E7" s="33">
        <f>$C$27*'E Balans VL '!I9/100/3.6*1000000</f>
        <v>26.688055493935774</v>
      </c>
      <c r="F7" s="33">
        <f>$C$27*('E Balans VL '!L9+'E Balans VL '!N9)/100/3.6*1000000</f>
        <v>236.00749600960398</v>
      </c>
      <c r="G7" s="34"/>
      <c r="H7" s="33"/>
      <c r="I7" s="33"/>
      <c r="J7" s="33">
        <f>$C$27*('E Balans VL '!D9+'E Balans VL '!E9)/100/3.6*1000000</f>
        <v>0</v>
      </c>
      <c r="K7" s="33"/>
      <c r="L7" s="33"/>
      <c r="M7" s="33"/>
      <c r="N7" s="33">
        <f>$C$27*'E Balans VL '!Y9/100/3.6*1000000</f>
        <v>0.53577631122135749</v>
      </c>
      <c r="O7" s="33"/>
      <c r="P7" s="33"/>
      <c r="R7" s="32"/>
    </row>
    <row r="8" spans="1:18">
      <c r="A8" s="6" t="s">
        <v>52</v>
      </c>
      <c r="B8" s="37">
        <f t="shared" si="0"/>
        <v>7592.0566466875698</v>
      </c>
      <c r="C8" s="33"/>
      <c r="D8" s="37">
        <f>IF(ISERROR(TER_handel_gas_kWh/1000),0,TER_handel_gas_kWh/1000)*0.902</f>
        <v>6159.1947164793482</v>
      </c>
      <c r="E8" s="33">
        <f>$C$28*'E Balans VL '!I13/100/3.6*1000000</f>
        <v>275.36295836487619</v>
      </c>
      <c r="F8" s="33">
        <f>$C$28*('E Balans VL '!L13+'E Balans VL '!N13)/100/3.6*1000000</f>
        <v>1462.3069846130993</v>
      </c>
      <c r="G8" s="34"/>
      <c r="H8" s="33"/>
      <c r="I8" s="33"/>
      <c r="J8" s="33">
        <f>$C$28*('E Balans VL '!D13+'E Balans VL '!E13)/100/3.6*1000000</f>
        <v>0</v>
      </c>
      <c r="K8" s="33"/>
      <c r="L8" s="33"/>
      <c r="M8" s="33"/>
      <c r="N8" s="33">
        <f>$C$28*'E Balans VL '!Y13/100/3.6*1000000</f>
        <v>10.516745309989318</v>
      </c>
      <c r="O8" s="33"/>
      <c r="P8" s="33"/>
      <c r="R8" s="32"/>
    </row>
    <row r="9" spans="1:18">
      <c r="A9" s="32" t="s">
        <v>51</v>
      </c>
      <c r="B9" s="37">
        <f t="shared" si="0"/>
        <v>3156.0286876189602</v>
      </c>
      <c r="C9" s="33"/>
      <c r="D9" s="37">
        <f>IF(ISERROR(TER_gezond_gas_kWh/1000),0,TER_gezond_gas_kWh/1000)*0.902</f>
        <v>506.33165394819758</v>
      </c>
      <c r="E9" s="33">
        <f>$C$29*'E Balans VL '!I10/100/3.6*1000000</f>
        <v>0.19759855599882986</v>
      </c>
      <c r="F9" s="33">
        <f>$C$29*('E Balans VL '!L10+'E Balans VL '!N10)/100/3.6*1000000</f>
        <v>468.8376707380192</v>
      </c>
      <c r="G9" s="34"/>
      <c r="H9" s="33"/>
      <c r="I9" s="33"/>
      <c r="J9" s="33">
        <f>$C$29*('E Balans VL '!D10+'E Balans VL '!E10)/100/3.6*1000000</f>
        <v>0</v>
      </c>
      <c r="K9" s="33"/>
      <c r="L9" s="33"/>
      <c r="M9" s="33"/>
      <c r="N9" s="33">
        <f>$C$29*'E Balans VL '!Y10/100/3.6*1000000</f>
        <v>48.81775627082709</v>
      </c>
      <c r="O9" s="33"/>
      <c r="P9" s="33"/>
      <c r="R9" s="32"/>
    </row>
    <row r="10" spans="1:18">
      <c r="A10" s="32" t="s">
        <v>50</v>
      </c>
      <c r="B10" s="37">
        <f t="shared" si="0"/>
        <v>785.09991022863801</v>
      </c>
      <c r="C10" s="33"/>
      <c r="D10" s="37">
        <f>IF(ISERROR(TER_ander_gas_kWh/1000),0,TER_ander_gas_kWh/1000)*0.902</f>
        <v>1138.818068945827</v>
      </c>
      <c r="E10" s="33">
        <f>$C$30*'E Balans VL '!I14/100/3.6*1000000</f>
        <v>0.93581103826216139</v>
      </c>
      <c r="F10" s="33">
        <f>$C$30*('E Balans VL '!L14+'E Balans VL '!N14)/100/3.6*1000000</f>
        <v>205.41703931644483</v>
      </c>
      <c r="G10" s="34"/>
      <c r="H10" s="33"/>
      <c r="I10" s="33"/>
      <c r="J10" s="33">
        <f>$C$30*('E Balans VL '!D14+'E Balans VL '!E14)/100/3.6*1000000</f>
        <v>1.7041441544391623E-2</v>
      </c>
      <c r="K10" s="33"/>
      <c r="L10" s="33"/>
      <c r="M10" s="33"/>
      <c r="N10" s="33">
        <f>$C$30*'E Balans VL '!Y14/100/3.6*1000000</f>
        <v>666.68763264177187</v>
      </c>
      <c r="O10" s="33"/>
      <c r="P10" s="33"/>
      <c r="R10" s="32"/>
    </row>
    <row r="11" spans="1:18">
      <c r="A11" s="32" t="s">
        <v>55</v>
      </c>
      <c r="B11" s="37">
        <f t="shared" si="0"/>
        <v>91.105276460274496</v>
      </c>
      <c r="C11" s="33"/>
      <c r="D11" s="37">
        <f>IF(ISERROR(TER_onderwijs_gas_kWh/1000),0,TER_onderwijs_gas_kWh/1000)*0.902</f>
        <v>2817.377344070545</v>
      </c>
      <c r="E11" s="33">
        <f>$C$31*'E Balans VL '!I11/100/3.6*1000000</f>
        <v>1.3746318827844359</v>
      </c>
      <c r="F11" s="33">
        <f>$C$31*('E Balans VL '!L11+'E Balans VL '!N11)/100/3.6*1000000</f>
        <v>15.963099885930699</v>
      </c>
      <c r="G11" s="34"/>
      <c r="H11" s="33"/>
      <c r="I11" s="33"/>
      <c r="J11" s="33">
        <f>$C$31*('E Balans VL '!D11+'E Balans VL '!E11)/100/3.6*1000000</f>
        <v>0</v>
      </c>
      <c r="K11" s="33"/>
      <c r="L11" s="33"/>
      <c r="M11" s="33"/>
      <c r="N11" s="33">
        <f>$C$31*'E Balans VL '!Y11/100/3.6*1000000</f>
        <v>0.25637717404608729</v>
      </c>
      <c r="O11" s="33"/>
      <c r="P11" s="33"/>
      <c r="R11" s="32"/>
    </row>
    <row r="12" spans="1:18">
      <c r="A12" s="32" t="s">
        <v>260</v>
      </c>
      <c r="B12" s="37">
        <f t="shared" si="0"/>
        <v>3542.7310903562602</v>
      </c>
      <c r="C12" s="33"/>
      <c r="D12" s="37">
        <f>IF(ISERROR(TER_rest_gas_kWh/1000),0,TER_rest_gas_kWh/1000)*0.902</f>
        <v>6218.441127505831</v>
      </c>
      <c r="E12" s="33">
        <f>$C$32*'E Balans VL '!I8/100/3.6*1000000</f>
        <v>43.993572197632488</v>
      </c>
      <c r="F12" s="33">
        <f>$C$32*('E Balans VL '!L8+'E Balans VL '!N8)/100/3.6*1000000</f>
        <v>612.62570134203054</v>
      </c>
      <c r="G12" s="34"/>
      <c r="H12" s="33"/>
      <c r="I12" s="33"/>
      <c r="J12" s="33">
        <f>$C$32*('E Balans VL '!D8+'E Balans VL '!E8)/100/3.6*1000000</f>
        <v>8.5788127414950892E-3</v>
      </c>
      <c r="K12" s="33"/>
      <c r="L12" s="33"/>
      <c r="M12" s="33"/>
      <c r="N12" s="33">
        <f>$C$32*'E Balans VL '!Y8/100/3.6*1000000</f>
        <v>343.04497055873657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20664.353277289756</v>
      </c>
      <c r="C16" s="21">
        <f t="shared" ca="1" si="1"/>
        <v>0</v>
      </c>
      <c r="D16" s="21">
        <f t="shared" ca="1" si="1"/>
        <v>21410.094563832707</v>
      </c>
      <c r="E16" s="21">
        <f t="shared" si="1"/>
        <v>348.5754018486171</v>
      </c>
      <c r="F16" s="21">
        <f t="shared" ca="1" si="1"/>
        <v>3547.1893888038121</v>
      </c>
      <c r="G16" s="21">
        <f t="shared" si="1"/>
        <v>0</v>
      </c>
      <c r="H16" s="21">
        <f t="shared" si="1"/>
        <v>0</v>
      </c>
      <c r="I16" s="21">
        <f t="shared" si="1"/>
        <v>0</v>
      </c>
      <c r="J16" s="21">
        <f t="shared" si="1"/>
        <v>2.5620254285886712E-2</v>
      </c>
      <c r="K16" s="21">
        <f t="shared" si="1"/>
        <v>0</v>
      </c>
      <c r="L16" s="21">
        <f t="shared" ca="1" si="1"/>
        <v>0</v>
      </c>
      <c r="M16" s="21">
        <f t="shared" si="1"/>
        <v>0</v>
      </c>
      <c r="N16" s="21">
        <f t="shared" ca="1" si="1"/>
        <v>1073.3342760600212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0.19909096630093642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4114.0860619595396</v>
      </c>
      <c r="C20" s="23">
        <f t="shared" ref="C20:P20" ca="1" si="2">C16*C18</f>
        <v>0</v>
      </c>
      <c r="D20" s="23">
        <f t="shared" ca="1" si="2"/>
        <v>4324.8391018942066</v>
      </c>
      <c r="E20" s="23">
        <f t="shared" si="2"/>
        <v>79.126616219636091</v>
      </c>
      <c r="F20" s="23">
        <f t="shared" ca="1" si="2"/>
        <v>947.09956681061783</v>
      </c>
      <c r="G20" s="23">
        <f t="shared" si="2"/>
        <v>0</v>
      </c>
      <c r="H20" s="23">
        <f t="shared" si="2"/>
        <v>0</v>
      </c>
      <c r="I20" s="23">
        <f t="shared" si="2"/>
        <v>0</v>
      </c>
      <c r="J20" s="23">
        <f t="shared" si="2"/>
        <v>9.0695700172038953E-3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3633.6189613842203</v>
      </c>
      <c r="C26" s="39">
        <f>IF(ISERROR(B26*3.6/1000000/'E Balans VL '!Z12*100),0,B26*3.6/1000000/'E Balans VL '!Z12*100)</f>
        <v>7.6808948726276804E-2</v>
      </c>
      <c r="D26" s="237" t="s">
        <v>754</v>
      </c>
      <c r="F26" s="6"/>
    </row>
    <row r="27" spans="1:18">
      <c r="A27" s="231" t="s">
        <v>53</v>
      </c>
      <c r="B27" s="33">
        <f>IF(ISERROR(TER_horeca_ele_kWh/1000),0,TER_horeca_ele_kWh/1000)</f>
        <v>1863.71270455383</v>
      </c>
      <c r="C27" s="39">
        <f>IF(ISERROR(B27*3.6/1000000/'E Balans VL '!Z9*100),0,B27*3.6/1000000/'E Balans VL '!Z9*100)</f>
        <v>0.14691577785879073</v>
      </c>
      <c r="D27" s="237" t="s">
        <v>754</v>
      </c>
      <c r="F27" s="6"/>
    </row>
    <row r="28" spans="1:18">
      <c r="A28" s="171" t="s">
        <v>52</v>
      </c>
      <c r="B28" s="33">
        <f>IF(ISERROR(TER_handel_ele_kWh/1000),0,TER_handel_ele_kWh/1000)</f>
        <v>7592.0566466875698</v>
      </c>
      <c r="C28" s="39">
        <f>IF(ISERROR(B28*3.6/1000000/'E Balans VL '!Z13*100),0,B28*3.6/1000000/'E Balans VL '!Z13*100)</f>
        <v>0.22035215923308571</v>
      </c>
      <c r="D28" s="237" t="s">
        <v>754</v>
      </c>
      <c r="F28" s="6"/>
    </row>
    <row r="29" spans="1:18">
      <c r="A29" s="231" t="s">
        <v>51</v>
      </c>
      <c r="B29" s="33">
        <f>IF(ISERROR(TER_gezond_ele_kWh/1000),0,TER_gezond_ele_kWh/1000)</f>
        <v>3156.0286876189602</v>
      </c>
      <c r="C29" s="39">
        <f>IF(ISERROR(B29*3.6/1000000/'E Balans VL '!Z10*100),0,B29*3.6/1000000/'E Balans VL '!Z10*100)</f>
        <v>0.33238164416526356</v>
      </c>
      <c r="D29" s="237" t="s">
        <v>754</v>
      </c>
      <c r="F29" s="6"/>
    </row>
    <row r="30" spans="1:18">
      <c r="A30" s="231" t="s">
        <v>50</v>
      </c>
      <c r="B30" s="33">
        <f>IF(ISERROR(TER_ander_ele_kWh/1000),0,TER_ander_ele_kWh/1000)</f>
        <v>785.09991022863801</v>
      </c>
      <c r="C30" s="39">
        <f>IF(ISERROR(B30*3.6/1000000/'E Balans VL '!Z14*100),0,B30*3.6/1000000/'E Balans VL '!Z14*100)</f>
        <v>5.7909139901316596E-2</v>
      </c>
      <c r="D30" s="237" t="s">
        <v>754</v>
      </c>
      <c r="F30" s="6"/>
    </row>
    <row r="31" spans="1:18">
      <c r="A31" s="231" t="s">
        <v>55</v>
      </c>
      <c r="B31" s="33">
        <f>IF(ISERROR(TER_onderwijs_ele_kWh/1000),0,TER_onderwijs_ele_kWh/1000)</f>
        <v>91.105276460274496</v>
      </c>
      <c r="C31" s="39">
        <f>IF(ISERROR(B31*3.6/1000000/'E Balans VL '!Z11*100),0,B31*3.6/1000000/'E Balans VL '!Z11*100)</f>
        <v>2.2625707767564635E-2</v>
      </c>
      <c r="D31" s="237" t="s">
        <v>754</v>
      </c>
    </row>
    <row r="32" spans="1:18">
      <c r="A32" s="231" t="s">
        <v>260</v>
      </c>
      <c r="B32" s="33">
        <f>IF(ISERROR(TER_rest_ele_kWh/1000),0,TER_rest_ele_kWh/1000)</f>
        <v>3542.7310903562602</v>
      </c>
      <c r="C32" s="39">
        <f>IF(ISERROR(B32*3.6/1000000/'E Balans VL '!Z8*100),0,B32*3.6/1000000/'E Balans VL '!Z8*100)</f>
        <v>2.9151974376130853E-2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17939.057588206593</v>
      </c>
      <c r="C5" s="17">
        <f>IF(ISERROR('Eigen informatie GS &amp; warmtenet'!B59),0,'Eigen informatie GS &amp; warmtenet'!B59)</f>
        <v>0</v>
      </c>
      <c r="D5" s="30">
        <f>SUM(D6:D15)</f>
        <v>22206.228060806461</v>
      </c>
      <c r="E5" s="17">
        <f>SUM(E6:E15)</f>
        <v>1252.9369549877356</v>
      </c>
      <c r="F5" s="17">
        <f>SUM(F6:F15)</f>
        <v>4255.7516684969542</v>
      </c>
      <c r="G5" s="18"/>
      <c r="H5" s="17"/>
      <c r="I5" s="17"/>
      <c r="J5" s="17">
        <f>SUM(J6:J15)</f>
        <v>50.995031128367096</v>
      </c>
      <c r="K5" s="17"/>
      <c r="L5" s="17"/>
      <c r="M5" s="17"/>
      <c r="N5" s="17">
        <f>SUM(N6:N15)</f>
        <v>3843.7591528207709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1462.4239680969101</v>
      </c>
      <c r="C8" s="33"/>
      <c r="D8" s="37">
        <f>IF( ISERROR(IND_metaal_Gas_kWH/1000),0,IND_metaal_Gas_kWH/1000)*0.902</f>
        <v>0</v>
      </c>
      <c r="E8" s="33">
        <f>C30*'E Balans VL '!I18/100/3.6*1000000</f>
        <v>13.445575964150523</v>
      </c>
      <c r="F8" s="33">
        <f>C30*'E Balans VL '!L18/100/3.6*1000000+C30*'E Balans VL '!N18/100/3.6*1000000</f>
        <v>137.12667918506617</v>
      </c>
      <c r="G8" s="34"/>
      <c r="H8" s="33"/>
      <c r="I8" s="33"/>
      <c r="J8" s="40">
        <f>C30*'E Balans VL '!D18/100/3.6*1000000+C30*'E Balans VL '!E18/100/3.6*1000000</f>
        <v>0</v>
      </c>
      <c r="K8" s="33"/>
      <c r="L8" s="33"/>
      <c r="M8" s="33"/>
      <c r="N8" s="33">
        <f>C30*'E Balans VL '!Y18/100/3.6*1000000</f>
        <v>20.86389466228189</v>
      </c>
      <c r="O8" s="33"/>
      <c r="P8" s="33"/>
      <c r="R8" s="32"/>
    </row>
    <row r="9" spans="1:18">
      <c r="A9" s="6" t="s">
        <v>33</v>
      </c>
      <c r="B9" s="37">
        <f t="shared" si="0"/>
        <v>1544.0154664537799</v>
      </c>
      <c r="C9" s="33"/>
      <c r="D9" s="37">
        <f>IF( ISERROR(IND_andere_gas_kWh/1000),0,IND_andere_gas_kWh/1000)*0.902</f>
        <v>2549.6282784527725</v>
      </c>
      <c r="E9" s="33">
        <f>C31*'E Balans VL '!I19/100/3.6*1000000</f>
        <v>451.34577928019974</v>
      </c>
      <c r="F9" s="33">
        <f>C31*'E Balans VL '!L19/100/3.6*1000000+C31*'E Balans VL '!N19/100/3.6*1000000</f>
        <v>1240.7332985276016</v>
      </c>
      <c r="G9" s="34"/>
      <c r="H9" s="33"/>
      <c r="I9" s="33"/>
      <c r="J9" s="40">
        <f>C31*'E Balans VL '!D19/100/3.6*1000000+C31*'E Balans VL '!E19/100/3.6*1000000</f>
        <v>0</v>
      </c>
      <c r="K9" s="33"/>
      <c r="L9" s="33"/>
      <c r="M9" s="33"/>
      <c r="N9" s="33">
        <f>C31*'E Balans VL '!Y19/100/3.6*1000000</f>
        <v>510.1666560984421</v>
      </c>
      <c r="O9" s="33"/>
      <c r="P9" s="33"/>
      <c r="R9" s="32"/>
    </row>
    <row r="10" spans="1:18">
      <c r="A10" s="6" t="s">
        <v>41</v>
      </c>
      <c r="B10" s="37">
        <f t="shared" si="0"/>
        <v>454.47538063865102</v>
      </c>
      <c r="C10" s="33"/>
      <c r="D10" s="37">
        <f>IF( ISERROR(IND_voed_gas_kWh/1000),0,IND_voed_gas_kWh/1000)*0.902</f>
        <v>329.98814694744209</v>
      </c>
      <c r="E10" s="33">
        <f>C32*'E Balans VL '!I20/100/3.6*1000000</f>
        <v>0.96144971446530347</v>
      </c>
      <c r="F10" s="33">
        <f>C32*'E Balans VL '!L20/100/3.6*1000000+C32*'E Balans VL '!N20/100/3.6*1000000</f>
        <v>28.896008933993329</v>
      </c>
      <c r="G10" s="34"/>
      <c r="H10" s="33"/>
      <c r="I10" s="33"/>
      <c r="J10" s="40">
        <f>C32*'E Balans VL '!D20/100/3.6*1000000+C32*'E Balans VL '!E20/100/3.6*1000000</f>
        <v>0</v>
      </c>
      <c r="K10" s="33"/>
      <c r="L10" s="33"/>
      <c r="M10" s="33"/>
      <c r="N10" s="33">
        <f>C32*'E Balans VL '!Y20/100/3.6*1000000</f>
        <v>31.36328613670905</v>
      </c>
      <c r="O10" s="33"/>
      <c r="P10" s="33"/>
      <c r="R10" s="32"/>
    </row>
    <row r="11" spans="1:18">
      <c r="A11" s="6" t="s">
        <v>40</v>
      </c>
      <c r="B11" s="37">
        <f t="shared" si="0"/>
        <v>193.54909993583101</v>
      </c>
      <c r="C11" s="33"/>
      <c r="D11" s="37">
        <f>IF( ISERROR(IND_textiel_gas_kWh/1000),0,IND_textiel_gas_kWh/1000)*0.902</f>
        <v>0</v>
      </c>
      <c r="E11" s="33">
        <f>C33*'E Balans VL '!I21/100/3.6*1000000</f>
        <v>0.57482413966902479</v>
      </c>
      <c r="F11" s="33">
        <f>C33*'E Balans VL '!L21/100/3.6*1000000+C33*'E Balans VL '!N21/100/3.6*1000000</f>
        <v>19.553772813078901</v>
      </c>
      <c r="G11" s="34"/>
      <c r="H11" s="33"/>
      <c r="I11" s="33"/>
      <c r="J11" s="40">
        <f>C33*'E Balans VL '!D21/100/3.6*1000000+C33*'E Balans VL '!E21/100/3.6*1000000</f>
        <v>0</v>
      </c>
      <c r="K11" s="33"/>
      <c r="L11" s="33"/>
      <c r="M11" s="33"/>
      <c r="N11" s="33">
        <f>C33*'E Balans VL '!Y21/100/3.6*1000000</f>
        <v>10.674850545203993</v>
      </c>
      <c r="O11" s="33"/>
      <c r="P11" s="33"/>
      <c r="R11" s="32"/>
    </row>
    <row r="12" spans="1:18">
      <c r="A12" s="6" t="s">
        <v>37</v>
      </c>
      <c r="B12" s="37">
        <f t="shared" si="0"/>
        <v>30.208846852261598</v>
      </c>
      <c r="C12" s="33"/>
      <c r="D12" s="37">
        <f>IF( ISERROR(IND_min_gas_kWh/1000),0,IND_min_gas_kWh/1000)*0.902</f>
        <v>0</v>
      </c>
      <c r="E12" s="33">
        <f>C34*'E Balans VL '!I22/100/3.6*1000000</f>
        <v>0.87563008036194034</v>
      </c>
      <c r="F12" s="33">
        <f>C34*'E Balans VL '!L22/100/3.6*1000000+C34*'E Balans VL '!N22/100/3.6*1000000</f>
        <v>10.38614291538506</v>
      </c>
      <c r="G12" s="34"/>
      <c r="H12" s="33"/>
      <c r="I12" s="33"/>
      <c r="J12" s="40">
        <f>C34*'E Balans VL '!D22/100/3.6*1000000+C34*'E Balans VL '!E22/100/3.6*1000000</f>
        <v>4.9642238678477051E-2</v>
      </c>
      <c r="K12" s="33"/>
      <c r="L12" s="33"/>
      <c r="M12" s="33"/>
      <c r="N12" s="33">
        <f>C34*'E Balans VL '!Y22/100/3.6*1000000</f>
        <v>6.6132130067397581</v>
      </c>
      <c r="O12" s="33"/>
      <c r="P12" s="33"/>
      <c r="R12" s="32"/>
    </row>
    <row r="13" spans="1:18">
      <c r="A13" s="6" t="s">
        <v>39</v>
      </c>
      <c r="B13" s="37">
        <f t="shared" si="0"/>
        <v>24.826203834461001</v>
      </c>
      <c r="C13" s="33"/>
      <c r="D13" s="37">
        <f>IF( ISERROR(IND_papier_gas_kWh/1000),0,IND_papier_gas_kWh/1000)*0.902</f>
        <v>72.188769703032378</v>
      </c>
      <c r="E13" s="33">
        <f>C35*'E Balans VL '!I23/100/3.6*1000000</f>
        <v>3.5222705532359157E-2</v>
      </c>
      <c r="F13" s="33">
        <f>C35*'E Balans VL '!L23/100/3.6*1000000+C35*'E Balans VL '!N23/100/3.6*1000000</f>
        <v>0.60610098814446078</v>
      </c>
      <c r="G13" s="34"/>
      <c r="H13" s="33"/>
      <c r="I13" s="33"/>
      <c r="J13" s="40">
        <f>C35*'E Balans VL '!D23/100/3.6*1000000+C35*'E Balans VL '!E23/100/3.6*1000000</f>
        <v>3.8396055056044522E-3</v>
      </c>
      <c r="K13" s="33"/>
      <c r="L13" s="33"/>
      <c r="M13" s="33"/>
      <c r="N13" s="33">
        <f>C35*'E Balans VL '!Y23/100/3.6*1000000</f>
        <v>72.163897780675669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14229.558622394699</v>
      </c>
      <c r="C15" s="33"/>
      <c r="D15" s="37">
        <f>IF( ISERROR(IND_rest_gas_kWh/1000),0,IND_rest_gas_kWh/1000)*0.902</f>
        <v>19254.422865703214</v>
      </c>
      <c r="E15" s="33">
        <f>C37*'E Balans VL '!I15/100/3.6*1000000</f>
        <v>785.6984731033566</v>
      </c>
      <c r="F15" s="33">
        <f>C37*'E Balans VL '!L15/100/3.6*1000000+C37*'E Balans VL '!N15/100/3.6*1000000</f>
        <v>2818.4496651336844</v>
      </c>
      <c r="G15" s="34"/>
      <c r="H15" s="33"/>
      <c r="I15" s="33"/>
      <c r="J15" s="40">
        <f>C37*'E Balans VL '!D15/100/3.6*1000000+C37*'E Balans VL '!E15/100/3.6*1000000</f>
        <v>50.941549284183012</v>
      </c>
      <c r="K15" s="33"/>
      <c r="L15" s="33"/>
      <c r="M15" s="33"/>
      <c r="N15" s="33">
        <f>C37*'E Balans VL '!Y15/100/3.6*1000000</f>
        <v>3191.9133545907184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17939.057588206593</v>
      </c>
      <c r="C18" s="21">
        <f>C5+C16</f>
        <v>0</v>
      </c>
      <c r="D18" s="21">
        <f>MAX((D5+D16),0)</f>
        <v>22206.228060806461</v>
      </c>
      <c r="E18" s="21">
        <f>MAX((E5+E16),0)</f>
        <v>1252.9369549877356</v>
      </c>
      <c r="F18" s="21">
        <f>MAX((F5+F16),0)</f>
        <v>4255.7516684969542</v>
      </c>
      <c r="G18" s="21"/>
      <c r="H18" s="21"/>
      <c r="I18" s="21"/>
      <c r="J18" s="21">
        <f>MAX((J5+J16),0)</f>
        <v>50.995031128367096</v>
      </c>
      <c r="K18" s="21"/>
      <c r="L18" s="21">
        <f>MAX((L5+L16),0)</f>
        <v>0</v>
      </c>
      <c r="M18" s="21"/>
      <c r="N18" s="21">
        <f>MAX((N5+N16),0)</f>
        <v>3843.7591528207709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0.19909096630093642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3571.5043097641965</v>
      </c>
      <c r="C22" s="23">
        <f ca="1">C18*C20</f>
        <v>0</v>
      </c>
      <c r="D22" s="23">
        <f>D18*D20</f>
        <v>4485.6580682829053</v>
      </c>
      <c r="E22" s="23">
        <f>E18*E20</f>
        <v>284.416688782216</v>
      </c>
      <c r="F22" s="23">
        <f>F18*F20</f>
        <v>1136.2856954886868</v>
      </c>
      <c r="G22" s="23"/>
      <c r="H22" s="23"/>
      <c r="I22" s="23"/>
      <c r="J22" s="23">
        <f>J18*J20</f>
        <v>18.052241019441951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1462.4239680969101</v>
      </c>
      <c r="C30" s="39">
        <f>IF(ISERROR(B30*3.6/1000000/'E Balans VL '!Z18*100),0,B30*3.6/1000000/'E Balans VL '!Z18*100)</f>
        <v>8.2879316172367726E-2</v>
      </c>
      <c r="D30" s="237" t="s">
        <v>754</v>
      </c>
    </row>
    <row r="31" spans="1:18">
      <c r="A31" s="6" t="s">
        <v>33</v>
      </c>
      <c r="B31" s="37">
        <f>IF( ISERROR(IND_ander_ele_kWh/1000),0,IND_ander_ele_kWh/1000)</f>
        <v>1544.0154664537799</v>
      </c>
      <c r="C31" s="39">
        <f>IF(ISERROR(B31*3.6/1000000/'E Balans VL '!Z19*100),0,B31*3.6/1000000/'E Balans VL '!Z19*100)</f>
        <v>7.0030112389838861E-2</v>
      </c>
      <c r="D31" s="237" t="s">
        <v>754</v>
      </c>
    </row>
    <row r="32" spans="1:18">
      <c r="A32" s="171" t="s">
        <v>41</v>
      </c>
      <c r="B32" s="37">
        <f>IF( ISERROR(IND_voed_ele_kWh/1000),0,IND_voed_ele_kWh/1000)</f>
        <v>454.47538063865102</v>
      </c>
      <c r="C32" s="39">
        <f>IF(ISERROR(B32*3.6/1000000/'E Balans VL '!Z20*100),0,B32*3.6/1000000/'E Balans VL '!Z20*100)</f>
        <v>1.4058986667178992E-2</v>
      </c>
      <c r="D32" s="237" t="s">
        <v>754</v>
      </c>
    </row>
    <row r="33" spans="1:5">
      <c r="A33" s="171" t="s">
        <v>40</v>
      </c>
      <c r="B33" s="37">
        <f>IF( ISERROR(IND_textiel_ele_kWh/1000),0,IND_textiel_ele_kWh/1000)</f>
        <v>193.54909993583101</v>
      </c>
      <c r="C33" s="39">
        <f>IF(ISERROR(B33*3.6/1000000/'E Balans VL '!Z21*100),0,B33*3.6/1000000/'E Balans VL '!Z21*100)</f>
        <v>2.5236651223836601E-2</v>
      </c>
      <c r="D33" s="237" t="s">
        <v>754</v>
      </c>
    </row>
    <row r="34" spans="1:5">
      <c r="A34" s="171" t="s">
        <v>37</v>
      </c>
      <c r="B34" s="37">
        <f>IF( ISERROR(IND_min_ele_kWh/1000),0,IND_min_ele_kWh/1000)</f>
        <v>30.208846852261598</v>
      </c>
      <c r="C34" s="39">
        <f>IF(ISERROR(B34*3.6/1000000/'E Balans VL '!Z22*100),0,B34*3.6/1000000/'E Balans VL '!Z22*100)</f>
        <v>5.4336290435548235E-3</v>
      </c>
      <c r="D34" s="237" t="s">
        <v>754</v>
      </c>
    </row>
    <row r="35" spans="1:5">
      <c r="A35" s="171" t="s">
        <v>39</v>
      </c>
      <c r="B35" s="37">
        <f>IF( ISERROR(IND_papier_ele_kWh/1000),0,IND_papier_ele_kWh/1000)</f>
        <v>24.826203834461001</v>
      </c>
      <c r="C35" s="39">
        <f>IF(ISERROR(B35*3.6/1000000/'E Balans VL '!Z22*100),0,B35*3.6/1000000/'E Balans VL '!Z22*100)</f>
        <v>4.4654595011805404E-3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14229.558622394699</v>
      </c>
      <c r="C37" s="39">
        <f>IF(ISERROR(B37*3.6/1000000/'E Balans VL '!Z15*100),0,B37*3.6/1000000/'E Balans VL '!Z15*100)</f>
        <v>0.11278672764247619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178.906413551996</v>
      </c>
      <c r="C5" s="17">
        <f>'Eigen informatie GS &amp; warmtenet'!B60</f>
        <v>0</v>
      </c>
      <c r="D5" s="30">
        <f>IF(ISERROR(SUM(LB_lb_gas_kWh,LB_rest_gas_kWh)/1000),0,SUM(LB_lb_gas_kWh,LB_rest_gas_kWh)/1000)*0.902</f>
        <v>52.87476969217478</v>
      </c>
      <c r="E5" s="17">
        <f>B17*'E Balans VL '!I25/3.6*1000000/100</f>
        <v>5.25860593755145</v>
      </c>
      <c r="F5" s="17">
        <f>B17*('E Balans VL '!L25/3.6*1000000+'E Balans VL '!N25/3.6*1000000)/100</f>
        <v>745.31445126245637</v>
      </c>
      <c r="G5" s="18"/>
      <c r="H5" s="17"/>
      <c r="I5" s="17"/>
      <c r="J5" s="17">
        <f>('E Balans VL '!D25+'E Balans VL '!E25)/3.6*1000000*landbouw!B17/100</f>
        <v>25.919697264473569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178.906413551996</v>
      </c>
      <c r="C8" s="21">
        <f>C5+C6</f>
        <v>0</v>
      </c>
      <c r="D8" s="21">
        <f>MAX((D5+D6),0)</f>
        <v>52.87476969217478</v>
      </c>
      <c r="E8" s="21">
        <f>MAX((E5+E6),0)</f>
        <v>5.25860593755145</v>
      </c>
      <c r="F8" s="21">
        <f>MAX((F5+F6),0)</f>
        <v>745.31445126245637</v>
      </c>
      <c r="G8" s="21"/>
      <c r="H8" s="21"/>
      <c r="I8" s="21"/>
      <c r="J8" s="21">
        <f>MAX((J5+J6),0)</f>
        <v>25.919697264473569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0.19909096630093642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35.618650751501832</v>
      </c>
      <c r="C12" s="23">
        <f ca="1">C8*C10</f>
        <v>0</v>
      </c>
      <c r="D12" s="23">
        <f>D8*D10</f>
        <v>10.680703477819307</v>
      </c>
      <c r="E12" s="23">
        <f>E8*E10</f>
        <v>1.1937035478241791</v>
      </c>
      <c r="F12" s="23">
        <f>F8*F10</f>
        <v>198.99895848707587</v>
      </c>
      <c r="G12" s="23"/>
      <c r="H12" s="23"/>
      <c r="I12" s="23"/>
      <c r="J12" s="23">
        <f>J8*J10</f>
        <v>9.1755728316236436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2.5387381384782793E-2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39.912771622718964</v>
      </c>
      <c r="C26" s="247">
        <f>B26*'GWP N2O_CH4'!B5</f>
        <v>838.16820407709827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5.1261606126211925</v>
      </c>
      <c r="C27" s="247">
        <f>B27*'GWP N2O_CH4'!B5</f>
        <v>107.64937286504504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0.57266799020914483</v>
      </c>
      <c r="C28" s="247">
        <f>B28*'GWP N2O_CH4'!B4</f>
        <v>177.52707696483489</v>
      </c>
      <c r="D28" s="50"/>
    </row>
    <row r="29" spans="1:4">
      <c r="A29" s="41" t="s">
        <v>277</v>
      </c>
      <c r="B29" s="247">
        <f>B34*'ha_N2O bodem landbouw'!B4</f>
        <v>1.8011875881887291</v>
      </c>
      <c r="C29" s="247">
        <f>B29*'GWP N2O_CH4'!B4</f>
        <v>558.36815233850609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4.1102480045610029E-4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6.0248430557122659E-5</v>
      </c>
      <c r="C5" s="463" t="s">
        <v>211</v>
      </c>
      <c r="D5" s="448">
        <f>SUM(D6:D11)</f>
        <v>2.3061968804040356E-4</v>
      </c>
      <c r="E5" s="448">
        <f>SUM(E6:E11)</f>
        <v>3.035466098876042E-4</v>
      </c>
      <c r="F5" s="461" t="s">
        <v>211</v>
      </c>
      <c r="G5" s="448">
        <f>SUM(G6:G11)</f>
        <v>0.11811843994575755</v>
      </c>
      <c r="H5" s="448">
        <f>SUM(H6:H11)</f>
        <v>2.5876916796680503E-2</v>
      </c>
      <c r="I5" s="463" t="s">
        <v>211</v>
      </c>
      <c r="J5" s="463" t="s">
        <v>211</v>
      </c>
      <c r="K5" s="463" t="s">
        <v>211</v>
      </c>
      <c r="L5" s="463" t="s">
        <v>211</v>
      </c>
      <c r="M5" s="448">
        <f>SUM(M6:M11)</f>
        <v>7.6644943124067489E-3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3.886119522311045E-5</v>
      </c>
      <c r="C6" s="449"/>
      <c r="D6" s="892">
        <f>vkm_2011_GW_PW*SUMIFS(TableVerdeelsleutelVkm[CNG],TableVerdeelsleutelVkm[Voertuigtype],"Lichte voertuigen")*SUMIFS(TableECFTransport[EnergieConsumptieFactor (PJ per km)],TableECFTransport[Index],CONCATENATE($A6,"_CNG_CNG"))</f>
        <v>1.1656128137209419E-4</v>
      </c>
      <c r="E6" s="892">
        <f>vkm_2011_GW_PW*SUMIFS(TableVerdeelsleutelVkm[LPG],TableVerdeelsleutelVkm[Voertuigtype],"Lichte voertuigen")*SUMIFS(TableECFTransport[EnergieConsumptieFactor (PJ per km)],TableECFTransport[Index],CONCATENATE($A6,"_LPG_LPG"))</f>
        <v>1.5923945355720694E-4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4.1172023039886499E-2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1.3257504539518003E-2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2.7965491875177675E-3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3.1374859628632894E-2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9.5624196744201962E-6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1.8334409439292843E-3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2.138723533401221E-5</v>
      </c>
      <c r="C8" s="449"/>
      <c r="D8" s="451">
        <f>vkm_2011_NGW_PW*SUMIFS(TableVerdeelsleutelVkm[CNG],TableVerdeelsleutelVkm[Voertuigtype],"Lichte voertuigen")*SUMIFS(TableECFTransport[EnergieConsumptieFactor (PJ per km)],TableECFTransport[Index],CONCATENATE($A8,"_CNG_CNG"))</f>
        <v>1.1405840666830939E-4</v>
      </c>
      <c r="E8" s="451">
        <f>vkm_2011_NGW_PW*SUMIFS(TableVerdeelsleutelVkm[LPG],TableVerdeelsleutelVkm[Voertuigtype],"Lichte voertuigen")*SUMIFS(TableECFTransport[EnergieConsumptieFactor (PJ per km)],TableECFTransport[Index],CONCATENATE($A8,"_LPG_LPG"))</f>
        <v>1.4430715633039726E-4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3.4770104983557482E-2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1.2606750644560896E-2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2.4033094387111553E-3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1.080145229368068E-2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3.0991929271846593E-6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6.3119474224854232E-4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16.735675154756294</v>
      </c>
      <c r="C14" s="21"/>
      <c r="D14" s="21">
        <f t="shared" ref="D14:M14" si="0">((D5)*10^9/3600)+D12</f>
        <v>64.061024455667649</v>
      </c>
      <c r="E14" s="21">
        <f t="shared" si="0"/>
        <v>84.318502746556717</v>
      </c>
      <c r="F14" s="21"/>
      <c r="G14" s="21">
        <f t="shared" si="0"/>
        <v>32810.677762710431</v>
      </c>
      <c r="H14" s="21">
        <f t="shared" si="0"/>
        <v>7188.032443522362</v>
      </c>
      <c r="I14" s="21"/>
      <c r="J14" s="21"/>
      <c r="K14" s="21"/>
      <c r="L14" s="21"/>
      <c r="M14" s="21">
        <f t="shared" si="0"/>
        <v>2129.0261978907633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0.19909096630093642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3.3319217382590041</v>
      </c>
      <c r="C18" s="23"/>
      <c r="D18" s="23">
        <f t="shared" ref="D18:M18" si="1">D14*D16</f>
        <v>12.940326940044866</v>
      </c>
      <c r="E18" s="23">
        <f t="shared" si="1"/>
        <v>19.140300123468375</v>
      </c>
      <c r="F18" s="23"/>
      <c r="G18" s="23">
        <f t="shared" si="1"/>
        <v>8760.4509626436848</v>
      </c>
      <c r="H18" s="23">
        <f t="shared" si="1"/>
        <v>1789.8200784370681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3.6008839243875865E-3</v>
      </c>
      <c r="H50" s="321">
        <f t="shared" si="2"/>
        <v>0</v>
      </c>
      <c r="I50" s="321">
        <f t="shared" si="2"/>
        <v>0</v>
      </c>
      <c r="J50" s="321">
        <f t="shared" si="2"/>
        <v>0</v>
      </c>
      <c r="K50" s="321">
        <f t="shared" si="2"/>
        <v>0</v>
      </c>
      <c r="L50" s="321">
        <f t="shared" si="2"/>
        <v>0</v>
      </c>
      <c r="M50" s="321">
        <f t="shared" si="2"/>
        <v>2.0451431052807874E-4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3.6008839243875865E-3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2.0451431052807874E-4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1000.2455345521073</v>
      </c>
      <c r="H54" s="21">
        <f t="shared" si="3"/>
        <v>0</v>
      </c>
      <c r="I54" s="21">
        <f t="shared" si="3"/>
        <v>0</v>
      </c>
      <c r="J54" s="21">
        <f t="shared" si="3"/>
        <v>0</v>
      </c>
      <c r="K54" s="21">
        <f t="shared" si="3"/>
        <v>0</v>
      </c>
      <c r="L54" s="21">
        <f t="shared" si="3"/>
        <v>0</v>
      </c>
      <c r="M54" s="21">
        <f t="shared" si="3"/>
        <v>56.809530702244096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0.19909096630093642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267.06555772541265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21558.668277289755</v>
      </c>
      <c r="D10" s="1013">
        <f ca="1">tertiair!C16</f>
        <v>0</v>
      </c>
      <c r="E10" s="1013">
        <f ca="1">tertiair!D16</f>
        <v>21410.094563832707</v>
      </c>
      <c r="F10" s="1013">
        <f>tertiair!E16</f>
        <v>348.5754018486171</v>
      </c>
      <c r="G10" s="1013">
        <f ca="1">tertiair!F16</f>
        <v>3547.1893888038121</v>
      </c>
      <c r="H10" s="1013">
        <f>tertiair!G16</f>
        <v>0</v>
      </c>
      <c r="I10" s="1013">
        <f>tertiair!H16</f>
        <v>0</v>
      </c>
      <c r="J10" s="1013">
        <f>tertiair!I16</f>
        <v>0</v>
      </c>
      <c r="K10" s="1013">
        <f>tertiair!J16</f>
        <v>2.5620254285886712E-2</v>
      </c>
      <c r="L10" s="1013">
        <f>tertiair!K16</f>
        <v>0</v>
      </c>
      <c r="M10" s="1013">
        <f ca="1">tertiair!L16</f>
        <v>0</v>
      </c>
      <c r="N10" s="1013">
        <f>tertiair!M16</f>
        <v>0</v>
      </c>
      <c r="O10" s="1013">
        <f ca="1">tertiair!N16</f>
        <v>1073.3342760600212</v>
      </c>
      <c r="P10" s="1013">
        <f>tertiair!O16</f>
        <v>4.6900000000000004</v>
      </c>
      <c r="Q10" s="1014">
        <f>tertiair!P16</f>
        <v>38.133333333333333</v>
      </c>
      <c r="R10" s="700">
        <f ca="1">SUM(C10:Q10)</f>
        <v>47980.710861422529</v>
      </c>
      <c r="S10" s="67"/>
    </row>
    <row r="11" spans="1:19" s="473" customFormat="1">
      <c r="A11" s="809" t="s">
        <v>225</v>
      </c>
      <c r="B11" s="814"/>
      <c r="C11" s="1013">
        <f>huishoudens!B8</f>
        <v>19614.801158915881</v>
      </c>
      <c r="D11" s="1013">
        <f>huishoudens!C8</f>
        <v>0</v>
      </c>
      <c r="E11" s="1013">
        <f>huishoudens!D8</f>
        <v>58716.888733834341</v>
      </c>
      <c r="F11" s="1013">
        <f>huishoudens!E8</f>
        <v>3598.3009729338783</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10423.392219743257</v>
      </c>
      <c r="P11" s="1013">
        <f>huishoudens!O8</f>
        <v>204.79666666666668</v>
      </c>
      <c r="Q11" s="1014">
        <f>huishoudens!P8</f>
        <v>266.93333333333334</v>
      </c>
      <c r="R11" s="700">
        <f>SUM(C11:Q11)</f>
        <v>92825.113085427351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17939.057588206593</v>
      </c>
      <c r="D13" s="1013">
        <f>industrie!C18</f>
        <v>0</v>
      </c>
      <c r="E13" s="1013">
        <f>industrie!D18</f>
        <v>22206.228060806461</v>
      </c>
      <c r="F13" s="1013">
        <f>industrie!E18</f>
        <v>1252.9369549877356</v>
      </c>
      <c r="G13" s="1013">
        <f>industrie!F18</f>
        <v>4255.7516684969542</v>
      </c>
      <c r="H13" s="1013">
        <f>industrie!G18</f>
        <v>0</v>
      </c>
      <c r="I13" s="1013">
        <f>industrie!H18</f>
        <v>0</v>
      </c>
      <c r="J13" s="1013">
        <f>industrie!I18</f>
        <v>0</v>
      </c>
      <c r="K13" s="1013">
        <f>industrie!J18</f>
        <v>50.995031128367096</v>
      </c>
      <c r="L13" s="1013">
        <f>industrie!K18</f>
        <v>0</v>
      </c>
      <c r="M13" s="1013">
        <f>industrie!L18</f>
        <v>0</v>
      </c>
      <c r="N13" s="1013">
        <f>industrie!M18</f>
        <v>0</v>
      </c>
      <c r="O13" s="1013">
        <f>industrie!N18</f>
        <v>3843.7591528207709</v>
      </c>
      <c r="P13" s="1013">
        <f>industrie!O18</f>
        <v>0</v>
      </c>
      <c r="Q13" s="1014">
        <f>industrie!P18</f>
        <v>0</v>
      </c>
      <c r="R13" s="700">
        <f>SUM(C13:Q13)</f>
        <v>49548.728456446879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59112.527024412222</v>
      </c>
      <c r="D16" s="732">
        <f t="shared" ref="D16:R16" ca="1" si="0">SUM(D9:D15)</f>
        <v>0</v>
      </c>
      <c r="E16" s="732">
        <f t="shared" ca="1" si="0"/>
        <v>102333.21135847351</v>
      </c>
      <c r="F16" s="732">
        <f t="shared" si="0"/>
        <v>5199.8133297702316</v>
      </c>
      <c r="G16" s="732">
        <f t="shared" ca="1" si="0"/>
        <v>7802.9410573007663</v>
      </c>
      <c r="H16" s="732">
        <f t="shared" si="0"/>
        <v>0</v>
      </c>
      <c r="I16" s="732">
        <f t="shared" si="0"/>
        <v>0</v>
      </c>
      <c r="J16" s="732">
        <f t="shared" si="0"/>
        <v>0</v>
      </c>
      <c r="K16" s="732">
        <f t="shared" si="0"/>
        <v>51.020651382652986</v>
      </c>
      <c r="L16" s="732">
        <f t="shared" si="0"/>
        <v>0</v>
      </c>
      <c r="M16" s="732">
        <f t="shared" ca="1" si="0"/>
        <v>0</v>
      </c>
      <c r="N16" s="732">
        <f t="shared" si="0"/>
        <v>0</v>
      </c>
      <c r="O16" s="732">
        <f t="shared" ca="1" si="0"/>
        <v>15340.485648624048</v>
      </c>
      <c r="P16" s="732">
        <f t="shared" si="0"/>
        <v>209.48666666666668</v>
      </c>
      <c r="Q16" s="732">
        <f t="shared" si="0"/>
        <v>305.06666666666666</v>
      </c>
      <c r="R16" s="732">
        <f t="shared" ca="1" si="0"/>
        <v>190354.55240329675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1000.2455345521073</v>
      </c>
      <c r="I19" s="1013">
        <f>transport!H54</f>
        <v>0</v>
      </c>
      <c r="J19" s="1013">
        <f>transport!I54</f>
        <v>0</v>
      </c>
      <c r="K19" s="1013">
        <f>transport!J54</f>
        <v>0</v>
      </c>
      <c r="L19" s="1013">
        <f>transport!K54</f>
        <v>0</v>
      </c>
      <c r="M19" s="1013">
        <f>transport!L54</f>
        <v>0</v>
      </c>
      <c r="N19" s="1013">
        <f>transport!M54</f>
        <v>56.809530702244096</v>
      </c>
      <c r="O19" s="1013">
        <f>transport!N54</f>
        <v>0</v>
      </c>
      <c r="P19" s="1013">
        <f>transport!O54</f>
        <v>0</v>
      </c>
      <c r="Q19" s="1014">
        <f>transport!P54</f>
        <v>0</v>
      </c>
      <c r="R19" s="700">
        <f>SUM(C19:Q19)</f>
        <v>1057.0550652543513</v>
      </c>
      <c r="S19" s="67"/>
    </row>
    <row r="20" spans="1:19" s="473" customFormat="1">
      <c r="A20" s="809" t="s">
        <v>307</v>
      </c>
      <c r="B20" s="814"/>
      <c r="C20" s="1013">
        <f>transport!B14</f>
        <v>16.735675154756294</v>
      </c>
      <c r="D20" s="1013">
        <f>transport!C14</f>
        <v>0</v>
      </c>
      <c r="E20" s="1013">
        <f>transport!D14</f>
        <v>64.061024455667649</v>
      </c>
      <c r="F20" s="1013">
        <f>transport!E14</f>
        <v>84.318502746556717</v>
      </c>
      <c r="G20" s="1013">
        <f>transport!F14</f>
        <v>0</v>
      </c>
      <c r="H20" s="1013">
        <f>transport!G14</f>
        <v>32810.677762710431</v>
      </c>
      <c r="I20" s="1013">
        <f>transport!H14</f>
        <v>7188.032443522362</v>
      </c>
      <c r="J20" s="1013">
        <f>transport!I14</f>
        <v>0</v>
      </c>
      <c r="K20" s="1013">
        <f>transport!J14</f>
        <v>0</v>
      </c>
      <c r="L20" s="1013">
        <f>transport!K14</f>
        <v>0</v>
      </c>
      <c r="M20" s="1013">
        <f>transport!L14</f>
        <v>0</v>
      </c>
      <c r="N20" s="1013">
        <f>transport!M14</f>
        <v>2129.0261978907633</v>
      </c>
      <c r="O20" s="1013">
        <f>transport!N14</f>
        <v>0</v>
      </c>
      <c r="P20" s="1013">
        <f>transport!O14</f>
        <v>0</v>
      </c>
      <c r="Q20" s="1014">
        <f>transport!P14</f>
        <v>0</v>
      </c>
      <c r="R20" s="700">
        <f>SUM(C20:Q20)</f>
        <v>42292.851606480537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16.735675154756294</v>
      </c>
      <c r="D22" s="812">
        <f t="shared" ref="D22:R22" si="1">SUM(D18:D21)</f>
        <v>0</v>
      </c>
      <c r="E22" s="812">
        <f t="shared" si="1"/>
        <v>64.061024455667649</v>
      </c>
      <c r="F22" s="812">
        <f t="shared" si="1"/>
        <v>84.318502746556717</v>
      </c>
      <c r="G22" s="812">
        <f t="shared" si="1"/>
        <v>0</v>
      </c>
      <c r="H22" s="812">
        <f t="shared" si="1"/>
        <v>33810.92329726254</v>
      </c>
      <c r="I22" s="812">
        <f t="shared" si="1"/>
        <v>7188.032443522362</v>
      </c>
      <c r="J22" s="812">
        <f t="shared" si="1"/>
        <v>0</v>
      </c>
      <c r="K22" s="812">
        <f t="shared" si="1"/>
        <v>0</v>
      </c>
      <c r="L22" s="812">
        <f t="shared" si="1"/>
        <v>0</v>
      </c>
      <c r="M22" s="812">
        <f t="shared" si="1"/>
        <v>0</v>
      </c>
      <c r="N22" s="812">
        <f t="shared" si="1"/>
        <v>2185.8357285930074</v>
      </c>
      <c r="O22" s="812">
        <f t="shared" si="1"/>
        <v>0</v>
      </c>
      <c r="P22" s="812">
        <f t="shared" si="1"/>
        <v>0</v>
      </c>
      <c r="Q22" s="812">
        <f t="shared" si="1"/>
        <v>0</v>
      </c>
      <c r="R22" s="812">
        <f t="shared" si="1"/>
        <v>43349.906671734891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178.906413551996</v>
      </c>
      <c r="D24" s="1013">
        <f>+landbouw!C8</f>
        <v>0</v>
      </c>
      <c r="E24" s="1013">
        <f>+landbouw!D8</f>
        <v>52.87476969217478</v>
      </c>
      <c r="F24" s="1013">
        <f>+landbouw!E8</f>
        <v>5.25860593755145</v>
      </c>
      <c r="G24" s="1013">
        <f>+landbouw!F8</f>
        <v>745.31445126245637</v>
      </c>
      <c r="H24" s="1013">
        <f>+landbouw!G8</f>
        <v>0</v>
      </c>
      <c r="I24" s="1013">
        <f>+landbouw!H8</f>
        <v>0</v>
      </c>
      <c r="J24" s="1013">
        <f>+landbouw!I8</f>
        <v>0</v>
      </c>
      <c r="K24" s="1013">
        <f>+landbouw!J8</f>
        <v>25.919697264473569</v>
      </c>
      <c r="L24" s="1013">
        <f>+landbouw!K8</f>
        <v>0</v>
      </c>
      <c r="M24" s="1013">
        <f>+landbouw!L8</f>
        <v>0</v>
      </c>
      <c r="N24" s="1013">
        <f>+landbouw!M8</f>
        <v>0</v>
      </c>
      <c r="O24" s="1013">
        <f>+landbouw!N8</f>
        <v>0</v>
      </c>
      <c r="P24" s="1013">
        <f>+landbouw!O8</f>
        <v>0</v>
      </c>
      <c r="Q24" s="1014">
        <f>+landbouw!P8</f>
        <v>0</v>
      </c>
      <c r="R24" s="700">
        <f>SUM(C24:Q24)</f>
        <v>1008.2739377086522</v>
      </c>
      <c r="S24" s="67"/>
    </row>
    <row r="25" spans="1:19" s="473" customFormat="1" ht="15" thickBot="1">
      <c r="A25" s="831" t="s">
        <v>836</v>
      </c>
      <c r="B25" s="1016"/>
      <c r="C25" s="1017">
        <f>IF(Onbekend_ele_kWh="---",0,Onbekend_ele_kWh)/1000+IF(REST_rest_ele_kWh="---",0,REST_rest_ele_kWh)/1000</f>
        <v>604.77184320171705</v>
      </c>
      <c r="D25" s="1017"/>
      <c r="E25" s="1017">
        <f>IF(onbekend_gas_kWh="---",0,onbekend_gas_kWh)/1000+IF(REST_rest_gas_kWh="---",0,REST_rest_gas_kWh)/1000</f>
        <v>7388.6731800085799</v>
      </c>
      <c r="F25" s="1017"/>
      <c r="G25" s="1017"/>
      <c r="H25" s="1017"/>
      <c r="I25" s="1017"/>
      <c r="J25" s="1017"/>
      <c r="K25" s="1017"/>
      <c r="L25" s="1017"/>
      <c r="M25" s="1017"/>
      <c r="N25" s="1017"/>
      <c r="O25" s="1017"/>
      <c r="P25" s="1017"/>
      <c r="Q25" s="1018"/>
      <c r="R25" s="700">
        <f>SUM(C25:Q25)</f>
        <v>7993.4450232102972</v>
      </c>
      <c r="S25" s="67"/>
    </row>
    <row r="26" spans="1:19" s="473" customFormat="1" ht="15.75" thickBot="1">
      <c r="A26" s="705" t="s">
        <v>837</v>
      </c>
      <c r="B26" s="817"/>
      <c r="C26" s="812">
        <f>SUM(C24:C25)</f>
        <v>783.67825675371307</v>
      </c>
      <c r="D26" s="812">
        <f t="shared" ref="D26:R26" si="2">SUM(D24:D25)</f>
        <v>0</v>
      </c>
      <c r="E26" s="812">
        <f t="shared" si="2"/>
        <v>7441.5479497007545</v>
      </c>
      <c r="F26" s="812">
        <f t="shared" si="2"/>
        <v>5.25860593755145</v>
      </c>
      <c r="G26" s="812">
        <f t="shared" si="2"/>
        <v>745.31445126245637</v>
      </c>
      <c r="H26" s="812">
        <f t="shared" si="2"/>
        <v>0</v>
      </c>
      <c r="I26" s="812">
        <f t="shared" si="2"/>
        <v>0</v>
      </c>
      <c r="J26" s="812">
        <f t="shared" si="2"/>
        <v>0</v>
      </c>
      <c r="K26" s="812">
        <f t="shared" si="2"/>
        <v>25.919697264473569</v>
      </c>
      <c r="L26" s="812">
        <f t="shared" si="2"/>
        <v>0</v>
      </c>
      <c r="M26" s="812">
        <f t="shared" si="2"/>
        <v>0</v>
      </c>
      <c r="N26" s="812">
        <f t="shared" si="2"/>
        <v>0</v>
      </c>
      <c r="O26" s="812">
        <f t="shared" si="2"/>
        <v>0</v>
      </c>
      <c r="P26" s="812">
        <f t="shared" si="2"/>
        <v>0</v>
      </c>
      <c r="Q26" s="812">
        <f t="shared" si="2"/>
        <v>0</v>
      </c>
      <c r="R26" s="812">
        <f t="shared" si="2"/>
        <v>9001.71896091895</v>
      </c>
      <c r="S26" s="67"/>
    </row>
    <row r="27" spans="1:19" s="473" customFormat="1" ht="17.25" thickTop="1" thickBot="1">
      <c r="A27" s="706" t="s">
        <v>116</v>
      </c>
      <c r="B27" s="805"/>
      <c r="C27" s="707">
        <f ca="1">C22+C16+C26</f>
        <v>59912.940956320694</v>
      </c>
      <c r="D27" s="707">
        <f t="shared" ref="D27:R27" ca="1" si="3">D22+D16+D26</f>
        <v>0</v>
      </c>
      <c r="E27" s="707">
        <f t="shared" ca="1" si="3"/>
        <v>109838.82033262993</v>
      </c>
      <c r="F27" s="707">
        <f t="shared" si="3"/>
        <v>5289.3904384543403</v>
      </c>
      <c r="G27" s="707">
        <f t="shared" ca="1" si="3"/>
        <v>8548.255508563223</v>
      </c>
      <c r="H27" s="707">
        <f t="shared" si="3"/>
        <v>33810.92329726254</v>
      </c>
      <c r="I27" s="707">
        <f t="shared" si="3"/>
        <v>7188.032443522362</v>
      </c>
      <c r="J27" s="707">
        <f t="shared" si="3"/>
        <v>0</v>
      </c>
      <c r="K27" s="707">
        <f t="shared" si="3"/>
        <v>76.940348647126555</v>
      </c>
      <c r="L27" s="707">
        <f t="shared" si="3"/>
        <v>0</v>
      </c>
      <c r="M27" s="707">
        <f t="shared" ca="1" si="3"/>
        <v>0</v>
      </c>
      <c r="N27" s="707">
        <f t="shared" si="3"/>
        <v>2185.8357285930074</v>
      </c>
      <c r="O27" s="707">
        <f t="shared" ca="1" si="3"/>
        <v>15340.485648624048</v>
      </c>
      <c r="P27" s="707">
        <f t="shared" si="3"/>
        <v>209.48666666666668</v>
      </c>
      <c r="Q27" s="707">
        <f t="shared" si="3"/>
        <v>305.06666666666666</v>
      </c>
      <c r="R27" s="707">
        <f t="shared" ca="1" si="3"/>
        <v>242706.17803595058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4292.1360994869619</v>
      </c>
      <c r="D40" s="1013">
        <f ca="1">tertiair!C20</f>
        <v>0</v>
      </c>
      <c r="E40" s="1013">
        <f ca="1">tertiair!D20</f>
        <v>4324.8391018942066</v>
      </c>
      <c r="F40" s="1013">
        <f>tertiair!E20</f>
        <v>79.126616219636091</v>
      </c>
      <c r="G40" s="1013">
        <f ca="1">tertiair!F20</f>
        <v>947.09956681061783</v>
      </c>
      <c r="H40" s="1013">
        <f>tertiair!G20</f>
        <v>0</v>
      </c>
      <c r="I40" s="1013">
        <f>tertiair!H20</f>
        <v>0</v>
      </c>
      <c r="J40" s="1013">
        <f>tertiair!I20</f>
        <v>0</v>
      </c>
      <c r="K40" s="1013">
        <f>tertiair!J20</f>
        <v>9.0695700172038953E-3</v>
      </c>
      <c r="L40" s="1013">
        <f>tertiair!K20</f>
        <v>0</v>
      </c>
      <c r="M40" s="1013">
        <f ca="1">tertiair!L20</f>
        <v>0</v>
      </c>
      <c r="N40" s="1013">
        <f>tertiair!M20</f>
        <v>0</v>
      </c>
      <c r="O40" s="1013">
        <f ca="1">tertiair!N20</f>
        <v>0</v>
      </c>
      <c r="P40" s="1013">
        <f>tertiair!O20</f>
        <v>0</v>
      </c>
      <c r="Q40" s="774">
        <f>tertiair!P20</f>
        <v>0</v>
      </c>
      <c r="R40" s="850">
        <f t="shared" ca="1" si="4"/>
        <v>9643.2104539814372</v>
      </c>
    </row>
    <row r="41" spans="1:18">
      <c r="A41" s="822" t="s">
        <v>225</v>
      </c>
      <c r="B41" s="829"/>
      <c r="C41" s="1013">
        <f ca="1">huishoudens!B12</f>
        <v>3905.1297165292904</v>
      </c>
      <c r="D41" s="1013">
        <f ca="1">huishoudens!C12</f>
        <v>0</v>
      </c>
      <c r="E41" s="1013">
        <f>huishoudens!D12</f>
        <v>11860.811524234538</v>
      </c>
      <c r="F41" s="1013">
        <f>huishoudens!E12</f>
        <v>816.81432085599045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16582.755561619819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3571.5043097641965</v>
      </c>
      <c r="D43" s="1013">
        <f ca="1">industrie!C22</f>
        <v>0</v>
      </c>
      <c r="E43" s="1013">
        <f>industrie!D22</f>
        <v>4485.6580682829053</v>
      </c>
      <c r="F43" s="1013">
        <f>industrie!E22</f>
        <v>284.416688782216</v>
      </c>
      <c r="G43" s="1013">
        <f>industrie!F22</f>
        <v>1136.2856954886868</v>
      </c>
      <c r="H43" s="1013">
        <f>industrie!G22</f>
        <v>0</v>
      </c>
      <c r="I43" s="1013">
        <f>industrie!H22</f>
        <v>0</v>
      </c>
      <c r="J43" s="1013">
        <f>industrie!I22</f>
        <v>0</v>
      </c>
      <c r="K43" s="1013">
        <f>industrie!J22</f>
        <v>18.052241019441951</v>
      </c>
      <c r="L43" s="1013">
        <f>industrie!K22</f>
        <v>0</v>
      </c>
      <c r="M43" s="1013">
        <f>industrie!L22</f>
        <v>0</v>
      </c>
      <c r="N43" s="1013">
        <f>industrie!M22</f>
        <v>0</v>
      </c>
      <c r="O43" s="1013">
        <f>industrie!N22</f>
        <v>0</v>
      </c>
      <c r="P43" s="1013">
        <f>industrie!O22</f>
        <v>0</v>
      </c>
      <c r="Q43" s="774">
        <f>industrie!P22</f>
        <v>0</v>
      </c>
      <c r="R43" s="849">
        <f t="shared" ca="1" si="4"/>
        <v>9495.9170033374467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11768.770125780447</v>
      </c>
      <c r="D46" s="732">
        <f t="shared" ref="D46:Q46" ca="1" si="5">SUM(D39:D45)</f>
        <v>0</v>
      </c>
      <c r="E46" s="732">
        <f t="shared" ca="1" si="5"/>
        <v>20671.308694411648</v>
      </c>
      <c r="F46" s="732">
        <f t="shared" si="5"/>
        <v>1180.3576258578425</v>
      </c>
      <c r="G46" s="732">
        <f t="shared" ca="1" si="5"/>
        <v>2083.3852622993045</v>
      </c>
      <c r="H46" s="732">
        <f t="shared" si="5"/>
        <v>0</v>
      </c>
      <c r="I46" s="732">
        <f t="shared" si="5"/>
        <v>0</v>
      </c>
      <c r="J46" s="732">
        <f t="shared" si="5"/>
        <v>0</v>
      </c>
      <c r="K46" s="732">
        <f t="shared" si="5"/>
        <v>18.061310589459154</v>
      </c>
      <c r="L46" s="732">
        <f t="shared" si="5"/>
        <v>0</v>
      </c>
      <c r="M46" s="732">
        <f t="shared" ca="1" si="5"/>
        <v>0</v>
      </c>
      <c r="N46" s="732">
        <f t="shared" si="5"/>
        <v>0</v>
      </c>
      <c r="O46" s="732">
        <f t="shared" ca="1" si="5"/>
        <v>0</v>
      </c>
      <c r="P46" s="732">
        <f t="shared" si="5"/>
        <v>0</v>
      </c>
      <c r="Q46" s="732">
        <f t="shared" si="5"/>
        <v>0</v>
      </c>
      <c r="R46" s="732">
        <f ca="1">SUM(R39:R45)</f>
        <v>35721.883018938701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267.06555772541265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267.06555772541265</v>
      </c>
    </row>
    <row r="50" spans="1:18">
      <c r="A50" s="825" t="s">
        <v>307</v>
      </c>
      <c r="B50" s="835"/>
      <c r="C50" s="703">
        <f ca="1">transport!B18</f>
        <v>3.3319217382590041</v>
      </c>
      <c r="D50" s="703">
        <f>transport!C18</f>
        <v>0</v>
      </c>
      <c r="E50" s="703">
        <f>transport!D18</f>
        <v>12.940326940044866</v>
      </c>
      <c r="F50" s="703">
        <f>transport!E18</f>
        <v>19.140300123468375</v>
      </c>
      <c r="G50" s="703">
        <f>transport!F18</f>
        <v>0</v>
      </c>
      <c r="H50" s="703">
        <f>transport!G18</f>
        <v>8760.4509626436848</v>
      </c>
      <c r="I50" s="703">
        <f>transport!H18</f>
        <v>1789.8200784370681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10585.683589882525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3.3319217382590041</v>
      </c>
      <c r="D52" s="732">
        <f t="shared" ref="D52:Q52" ca="1" si="6">SUM(D48:D51)</f>
        <v>0</v>
      </c>
      <c r="E52" s="732">
        <f t="shared" si="6"/>
        <v>12.940326940044866</v>
      </c>
      <c r="F52" s="732">
        <f t="shared" si="6"/>
        <v>19.140300123468375</v>
      </c>
      <c r="G52" s="732">
        <f t="shared" si="6"/>
        <v>0</v>
      </c>
      <c r="H52" s="732">
        <f t="shared" si="6"/>
        <v>9027.5165203690976</v>
      </c>
      <c r="I52" s="732">
        <f t="shared" si="6"/>
        <v>1789.8200784370681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10852.749147607938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35.618650751501832</v>
      </c>
      <c r="D54" s="703">
        <f ca="1">+landbouw!C12</f>
        <v>0</v>
      </c>
      <c r="E54" s="703">
        <f>+landbouw!D12</f>
        <v>10.680703477819307</v>
      </c>
      <c r="F54" s="703">
        <f>+landbouw!E12</f>
        <v>1.1937035478241791</v>
      </c>
      <c r="G54" s="703">
        <f>+landbouw!F12</f>
        <v>198.99895848707587</v>
      </c>
      <c r="H54" s="703">
        <f>+landbouw!G12</f>
        <v>0</v>
      </c>
      <c r="I54" s="703">
        <f>+landbouw!H12</f>
        <v>0</v>
      </c>
      <c r="J54" s="703">
        <f>+landbouw!I12</f>
        <v>0</v>
      </c>
      <c r="K54" s="703">
        <f>+landbouw!J12</f>
        <v>9.1755728316236436</v>
      </c>
      <c r="L54" s="703">
        <f>+landbouw!K12</f>
        <v>0</v>
      </c>
      <c r="M54" s="703">
        <f>+landbouw!L12</f>
        <v>0</v>
      </c>
      <c r="N54" s="703">
        <f>+landbouw!M12</f>
        <v>0</v>
      </c>
      <c r="O54" s="703">
        <f>+landbouw!N12</f>
        <v>0</v>
      </c>
      <c r="P54" s="703">
        <f>+landbouw!O12</f>
        <v>0</v>
      </c>
      <c r="Q54" s="704">
        <f>+landbouw!P12</f>
        <v>0</v>
      </c>
      <c r="R54" s="731">
        <f ca="1">SUM(C54:Q54)</f>
        <v>255.66758909584482</v>
      </c>
    </row>
    <row r="55" spans="1:18" ht="15" thickBot="1">
      <c r="A55" s="825" t="s">
        <v>836</v>
      </c>
      <c r="B55" s="835"/>
      <c r="C55" s="703">
        <f ca="1">C25*'EF ele_warmte'!B12</f>
        <v>120.40461065462826</v>
      </c>
      <c r="D55" s="703"/>
      <c r="E55" s="703">
        <f>E25*EF_CO2_aardgas</f>
        <v>1492.5119823617333</v>
      </c>
      <c r="F55" s="703"/>
      <c r="G55" s="703"/>
      <c r="H55" s="703"/>
      <c r="I55" s="703"/>
      <c r="J55" s="703"/>
      <c r="K55" s="703"/>
      <c r="L55" s="703"/>
      <c r="M55" s="703"/>
      <c r="N55" s="703"/>
      <c r="O55" s="703"/>
      <c r="P55" s="703"/>
      <c r="Q55" s="704"/>
      <c r="R55" s="731">
        <f ca="1">SUM(C55:Q55)</f>
        <v>1612.9165930163615</v>
      </c>
    </row>
    <row r="56" spans="1:18" ht="15.75" thickBot="1">
      <c r="A56" s="823" t="s">
        <v>837</v>
      </c>
      <c r="B56" s="836"/>
      <c r="C56" s="732">
        <f ca="1">SUM(C54:C55)</f>
        <v>156.02326140613008</v>
      </c>
      <c r="D56" s="732">
        <f t="shared" ref="D56:Q56" ca="1" si="7">SUM(D54:D55)</f>
        <v>0</v>
      </c>
      <c r="E56" s="732">
        <f t="shared" si="7"/>
        <v>1503.1926858395527</v>
      </c>
      <c r="F56" s="732">
        <f t="shared" si="7"/>
        <v>1.1937035478241791</v>
      </c>
      <c r="G56" s="732">
        <f t="shared" si="7"/>
        <v>198.99895848707587</v>
      </c>
      <c r="H56" s="732">
        <f t="shared" si="7"/>
        <v>0</v>
      </c>
      <c r="I56" s="732">
        <f t="shared" si="7"/>
        <v>0</v>
      </c>
      <c r="J56" s="732">
        <f t="shared" si="7"/>
        <v>0</v>
      </c>
      <c r="K56" s="732">
        <f t="shared" si="7"/>
        <v>9.1755728316236436</v>
      </c>
      <c r="L56" s="732">
        <f t="shared" si="7"/>
        <v>0</v>
      </c>
      <c r="M56" s="732">
        <f t="shared" si="7"/>
        <v>0</v>
      </c>
      <c r="N56" s="732">
        <f t="shared" si="7"/>
        <v>0</v>
      </c>
      <c r="O56" s="732">
        <f t="shared" si="7"/>
        <v>0</v>
      </c>
      <c r="P56" s="732">
        <f t="shared" si="7"/>
        <v>0</v>
      </c>
      <c r="Q56" s="733">
        <f t="shared" si="7"/>
        <v>0</v>
      </c>
      <c r="R56" s="734">
        <f ca="1">SUM(R54:R55)</f>
        <v>1868.5841821122062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11928.125308924837</v>
      </c>
      <c r="D61" s="740">
        <f t="shared" ref="D61:Q61" ca="1" si="8">D46+D52+D56</f>
        <v>0</v>
      </c>
      <c r="E61" s="740">
        <f t="shared" ca="1" si="8"/>
        <v>22187.441707191247</v>
      </c>
      <c r="F61" s="740">
        <f t="shared" si="8"/>
        <v>1200.6916295291353</v>
      </c>
      <c r="G61" s="740">
        <f t="shared" ca="1" si="8"/>
        <v>2282.3842207863804</v>
      </c>
      <c r="H61" s="740">
        <f t="shared" si="8"/>
        <v>9027.5165203690976</v>
      </c>
      <c r="I61" s="740">
        <f t="shared" si="8"/>
        <v>1789.8200784370681</v>
      </c>
      <c r="J61" s="740">
        <f t="shared" si="8"/>
        <v>0</v>
      </c>
      <c r="K61" s="740">
        <f t="shared" si="8"/>
        <v>27.236883421082798</v>
      </c>
      <c r="L61" s="740">
        <f t="shared" si="8"/>
        <v>0</v>
      </c>
      <c r="M61" s="740">
        <f t="shared" ca="1" si="8"/>
        <v>0</v>
      </c>
      <c r="N61" s="740">
        <f t="shared" si="8"/>
        <v>0</v>
      </c>
      <c r="O61" s="740">
        <f t="shared" ca="1" si="8"/>
        <v>0</v>
      </c>
      <c r="P61" s="740">
        <f t="shared" si="8"/>
        <v>0</v>
      </c>
      <c r="Q61" s="740">
        <f t="shared" si="8"/>
        <v>0</v>
      </c>
      <c r="R61" s="740">
        <f ca="1">R46+R52+R56</f>
        <v>48443.216348658847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0.19909096630093642</v>
      </c>
      <c r="D63" s="781">
        <f t="shared" ca="1" si="9"/>
        <v>0</v>
      </c>
      <c r="E63" s="1024">
        <f t="shared" ca="1" si="9"/>
        <v>0.20200000000000001</v>
      </c>
      <c r="F63" s="781">
        <f t="shared" si="9"/>
        <v>0.22700000000000001</v>
      </c>
      <c r="G63" s="781">
        <f t="shared" ca="1" si="9"/>
        <v>0.26699999999999996</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5939.523268877997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5939.523268877997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5939.523268877997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5939.523268877997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19614.801158915881</v>
      </c>
      <c r="C4" s="477">
        <f>huishoudens!C8</f>
        <v>0</v>
      </c>
      <c r="D4" s="477">
        <f>huishoudens!D8</f>
        <v>58716.888733834341</v>
      </c>
      <c r="E4" s="477">
        <f>huishoudens!E8</f>
        <v>3598.3009729338783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10423.392219743257</v>
      </c>
      <c r="O4" s="477">
        <f>huishoudens!O8</f>
        <v>204.79666666666668</v>
      </c>
      <c r="P4" s="478">
        <f>huishoudens!P8</f>
        <v>266.93333333333334</v>
      </c>
      <c r="Q4" s="479">
        <f>SUM(B4:P4)</f>
        <v>92825.113085427351</v>
      </c>
    </row>
    <row r="5" spans="1:17">
      <c r="A5" s="476" t="s">
        <v>156</v>
      </c>
      <c r="B5" s="477">
        <f ca="1">tertiair!B16</f>
        <v>20664.353277289756</v>
      </c>
      <c r="C5" s="477">
        <f ca="1">tertiair!C16</f>
        <v>0</v>
      </c>
      <c r="D5" s="477">
        <f ca="1">tertiair!D16</f>
        <v>21410.094563832707</v>
      </c>
      <c r="E5" s="477">
        <f>tertiair!E16</f>
        <v>348.5754018486171</v>
      </c>
      <c r="F5" s="477">
        <f ca="1">tertiair!F16</f>
        <v>3547.1893888038121</v>
      </c>
      <c r="G5" s="477">
        <f>tertiair!G16</f>
        <v>0</v>
      </c>
      <c r="H5" s="477">
        <f>tertiair!H16</f>
        <v>0</v>
      </c>
      <c r="I5" s="477">
        <f>tertiair!I16</f>
        <v>0</v>
      </c>
      <c r="J5" s="477">
        <f>tertiair!J16</f>
        <v>2.5620254285886712E-2</v>
      </c>
      <c r="K5" s="477">
        <f>tertiair!K16</f>
        <v>0</v>
      </c>
      <c r="L5" s="477">
        <f ca="1">tertiair!L16</f>
        <v>0</v>
      </c>
      <c r="M5" s="477">
        <f>tertiair!M16</f>
        <v>0</v>
      </c>
      <c r="N5" s="477">
        <f ca="1">tertiair!N16</f>
        <v>1073.3342760600212</v>
      </c>
      <c r="O5" s="477">
        <f>tertiair!O16</f>
        <v>4.6900000000000004</v>
      </c>
      <c r="P5" s="478">
        <f>tertiair!P16</f>
        <v>38.133333333333333</v>
      </c>
      <c r="Q5" s="476">
        <f t="shared" ref="Q5:Q14" ca="1" si="0">SUM(B5:P5)</f>
        <v>47086.395861422534</v>
      </c>
    </row>
    <row r="6" spans="1:17">
      <c r="A6" s="476" t="s">
        <v>194</v>
      </c>
      <c r="B6" s="477">
        <f>'openbare verlichting'!B8</f>
        <v>894.31500000000005</v>
      </c>
      <c r="C6" s="477"/>
      <c r="D6" s="477"/>
      <c r="E6" s="477"/>
      <c r="F6" s="477"/>
      <c r="G6" s="477"/>
      <c r="H6" s="477"/>
      <c r="I6" s="477"/>
      <c r="J6" s="477"/>
      <c r="K6" s="477"/>
      <c r="L6" s="477"/>
      <c r="M6" s="477"/>
      <c r="N6" s="477"/>
      <c r="O6" s="477"/>
      <c r="P6" s="478"/>
      <c r="Q6" s="476">
        <f t="shared" si="0"/>
        <v>894.31500000000005</v>
      </c>
    </row>
    <row r="7" spans="1:17">
      <c r="A7" s="476" t="s">
        <v>112</v>
      </c>
      <c r="B7" s="477">
        <f>landbouw!B8</f>
        <v>178.906413551996</v>
      </c>
      <c r="C7" s="477">
        <f>landbouw!C8</f>
        <v>0</v>
      </c>
      <c r="D7" s="477">
        <f>landbouw!D8</f>
        <v>52.87476969217478</v>
      </c>
      <c r="E7" s="477">
        <f>landbouw!E8</f>
        <v>5.25860593755145</v>
      </c>
      <c r="F7" s="477">
        <f>landbouw!F8</f>
        <v>745.31445126245637</v>
      </c>
      <c r="G7" s="477">
        <f>landbouw!G8</f>
        <v>0</v>
      </c>
      <c r="H7" s="477">
        <f>landbouw!H8</f>
        <v>0</v>
      </c>
      <c r="I7" s="477">
        <f>landbouw!I8</f>
        <v>0</v>
      </c>
      <c r="J7" s="477">
        <f>landbouw!J8</f>
        <v>25.919697264473569</v>
      </c>
      <c r="K7" s="477">
        <f>landbouw!K8</f>
        <v>0</v>
      </c>
      <c r="L7" s="477">
        <f>landbouw!L8</f>
        <v>0</v>
      </c>
      <c r="M7" s="477">
        <f>landbouw!M8</f>
        <v>0</v>
      </c>
      <c r="N7" s="477">
        <f>landbouw!N8</f>
        <v>0</v>
      </c>
      <c r="O7" s="477">
        <f>landbouw!O8</f>
        <v>0</v>
      </c>
      <c r="P7" s="478">
        <f>landbouw!P8</f>
        <v>0</v>
      </c>
      <c r="Q7" s="476">
        <f t="shared" si="0"/>
        <v>1008.2739377086522</v>
      </c>
    </row>
    <row r="8" spans="1:17">
      <c r="A8" s="476" t="s">
        <v>635</v>
      </c>
      <c r="B8" s="477">
        <f>industrie!B18</f>
        <v>17939.057588206593</v>
      </c>
      <c r="C8" s="477">
        <f>industrie!C18</f>
        <v>0</v>
      </c>
      <c r="D8" s="477">
        <f>industrie!D18</f>
        <v>22206.228060806461</v>
      </c>
      <c r="E8" s="477">
        <f>industrie!E18</f>
        <v>1252.9369549877356</v>
      </c>
      <c r="F8" s="477">
        <f>industrie!F18</f>
        <v>4255.7516684969542</v>
      </c>
      <c r="G8" s="477">
        <f>industrie!G18</f>
        <v>0</v>
      </c>
      <c r="H8" s="477">
        <f>industrie!H18</f>
        <v>0</v>
      </c>
      <c r="I8" s="477">
        <f>industrie!I18</f>
        <v>0</v>
      </c>
      <c r="J8" s="477">
        <f>industrie!J18</f>
        <v>50.995031128367096</v>
      </c>
      <c r="K8" s="477">
        <f>industrie!K18</f>
        <v>0</v>
      </c>
      <c r="L8" s="477">
        <f>industrie!L18</f>
        <v>0</v>
      </c>
      <c r="M8" s="477">
        <f>industrie!M18</f>
        <v>0</v>
      </c>
      <c r="N8" s="477">
        <f>industrie!N18</f>
        <v>3843.7591528207709</v>
      </c>
      <c r="O8" s="477">
        <f>industrie!O18</f>
        <v>0</v>
      </c>
      <c r="P8" s="478">
        <f>industrie!P18</f>
        <v>0</v>
      </c>
      <c r="Q8" s="476">
        <f t="shared" si="0"/>
        <v>49548.728456446879</v>
      </c>
    </row>
    <row r="9" spans="1:17" s="482" customFormat="1">
      <c r="A9" s="480" t="s">
        <v>561</v>
      </c>
      <c r="B9" s="481">
        <f>transport!B14</f>
        <v>16.735675154756294</v>
      </c>
      <c r="C9" s="481">
        <f>transport!C14</f>
        <v>0</v>
      </c>
      <c r="D9" s="481">
        <f>transport!D14</f>
        <v>64.061024455667649</v>
      </c>
      <c r="E9" s="481">
        <f>transport!E14</f>
        <v>84.318502746556717</v>
      </c>
      <c r="F9" s="481">
        <f>transport!F14</f>
        <v>0</v>
      </c>
      <c r="G9" s="481">
        <f>transport!G14</f>
        <v>32810.677762710431</v>
      </c>
      <c r="H9" s="481">
        <f>transport!H14</f>
        <v>7188.032443522362</v>
      </c>
      <c r="I9" s="481">
        <f>transport!I14</f>
        <v>0</v>
      </c>
      <c r="J9" s="481">
        <f>transport!J14</f>
        <v>0</v>
      </c>
      <c r="K9" s="481">
        <f>transport!K14</f>
        <v>0</v>
      </c>
      <c r="L9" s="481">
        <f>transport!L14</f>
        <v>0</v>
      </c>
      <c r="M9" s="481">
        <f>transport!M14</f>
        <v>2129.0261978907633</v>
      </c>
      <c r="N9" s="481">
        <f>transport!N14</f>
        <v>0</v>
      </c>
      <c r="O9" s="481">
        <f>transport!O14</f>
        <v>0</v>
      </c>
      <c r="P9" s="481">
        <f>transport!P14</f>
        <v>0</v>
      </c>
      <c r="Q9" s="480">
        <f>SUM(B9:P9)</f>
        <v>42292.851606480537</v>
      </c>
    </row>
    <row r="10" spans="1:17">
      <c r="A10" s="476" t="s">
        <v>551</v>
      </c>
      <c r="B10" s="477">
        <f>transport!B54</f>
        <v>0</v>
      </c>
      <c r="C10" s="477">
        <f>transport!C54</f>
        <v>0</v>
      </c>
      <c r="D10" s="477">
        <f>transport!D54</f>
        <v>0</v>
      </c>
      <c r="E10" s="477">
        <f>transport!E54</f>
        <v>0</v>
      </c>
      <c r="F10" s="477">
        <f>transport!F54</f>
        <v>0</v>
      </c>
      <c r="G10" s="477">
        <f>transport!G54</f>
        <v>1000.2455345521073</v>
      </c>
      <c r="H10" s="477">
        <f>transport!H54</f>
        <v>0</v>
      </c>
      <c r="I10" s="477">
        <f>transport!I54</f>
        <v>0</v>
      </c>
      <c r="J10" s="477">
        <f>transport!J54</f>
        <v>0</v>
      </c>
      <c r="K10" s="477">
        <f>transport!K54</f>
        <v>0</v>
      </c>
      <c r="L10" s="477">
        <f>transport!L54</f>
        <v>0</v>
      </c>
      <c r="M10" s="477">
        <f>transport!M54</f>
        <v>56.809530702244096</v>
      </c>
      <c r="N10" s="477">
        <f>transport!N54</f>
        <v>0</v>
      </c>
      <c r="O10" s="477">
        <f>transport!O54</f>
        <v>0</v>
      </c>
      <c r="P10" s="478">
        <f>transport!P54</f>
        <v>0</v>
      </c>
      <c r="Q10" s="476">
        <f t="shared" si="0"/>
        <v>1057.0550652543513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604.77184320171705</v>
      </c>
      <c r="C14" s="484"/>
      <c r="D14" s="484">
        <f>'SEAP template'!E25</f>
        <v>7388.6731800085799</v>
      </c>
      <c r="E14" s="484"/>
      <c r="F14" s="484"/>
      <c r="G14" s="484"/>
      <c r="H14" s="484"/>
      <c r="I14" s="484"/>
      <c r="J14" s="484"/>
      <c r="K14" s="484"/>
      <c r="L14" s="484"/>
      <c r="M14" s="484"/>
      <c r="N14" s="484"/>
      <c r="O14" s="484"/>
      <c r="P14" s="485"/>
      <c r="Q14" s="476">
        <f t="shared" si="0"/>
        <v>7993.4450232102972</v>
      </c>
    </row>
    <row r="15" spans="1:17" s="486" customFormat="1">
      <c r="A15" s="1039" t="s">
        <v>555</v>
      </c>
      <c r="B15" s="987">
        <f ca="1">SUM(B4:B14)</f>
        <v>59912.940956320694</v>
      </c>
      <c r="C15" s="987">
        <f t="shared" ref="C15:Q15" ca="1" si="1">SUM(C4:C14)</f>
        <v>0</v>
      </c>
      <c r="D15" s="987">
        <f t="shared" ca="1" si="1"/>
        <v>109838.82033262994</v>
      </c>
      <c r="E15" s="987">
        <f t="shared" si="1"/>
        <v>5289.3904384543393</v>
      </c>
      <c r="F15" s="987">
        <f t="shared" ca="1" si="1"/>
        <v>8548.255508563223</v>
      </c>
      <c r="G15" s="987">
        <f t="shared" si="1"/>
        <v>33810.92329726254</v>
      </c>
      <c r="H15" s="987">
        <f t="shared" si="1"/>
        <v>7188.032443522362</v>
      </c>
      <c r="I15" s="987">
        <f t="shared" si="1"/>
        <v>0</v>
      </c>
      <c r="J15" s="987">
        <f t="shared" si="1"/>
        <v>76.940348647126555</v>
      </c>
      <c r="K15" s="987">
        <f t="shared" si="1"/>
        <v>0</v>
      </c>
      <c r="L15" s="987">
        <f t="shared" ca="1" si="1"/>
        <v>0</v>
      </c>
      <c r="M15" s="987">
        <f t="shared" si="1"/>
        <v>2185.8357285930074</v>
      </c>
      <c r="N15" s="987">
        <f t="shared" ca="1" si="1"/>
        <v>15340.485648624048</v>
      </c>
      <c r="O15" s="987">
        <f t="shared" si="1"/>
        <v>209.48666666666668</v>
      </c>
      <c r="P15" s="987">
        <f t="shared" si="1"/>
        <v>305.06666666666666</v>
      </c>
      <c r="Q15" s="987">
        <f t="shared" ca="1" si="1"/>
        <v>242706.17803595058</v>
      </c>
    </row>
    <row r="17" spans="1:17">
      <c r="A17" s="487" t="s">
        <v>556</v>
      </c>
      <c r="B17" s="786">
        <f ca="1">huishoudens!B10</f>
        <v>0.19909096630093642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3905.1297165292904</v>
      </c>
      <c r="C22" s="477">
        <f t="shared" ref="C22:C32" ca="1" si="3">C4*$C$17</f>
        <v>0</v>
      </c>
      <c r="D22" s="477">
        <f t="shared" ref="D22:D32" si="4">D4*$D$17</f>
        <v>11860.811524234538</v>
      </c>
      <c r="E22" s="477">
        <f t="shared" ref="E22:E32" si="5">E4*$E$17</f>
        <v>816.81432085599045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16582.755561619819</v>
      </c>
    </row>
    <row r="23" spans="1:17">
      <c r="A23" s="476" t="s">
        <v>156</v>
      </c>
      <c r="B23" s="477">
        <f t="shared" ca="1" si="2"/>
        <v>4114.0860619595396</v>
      </c>
      <c r="C23" s="477">
        <f t="shared" ca="1" si="3"/>
        <v>0</v>
      </c>
      <c r="D23" s="477">
        <f t="shared" ca="1" si="4"/>
        <v>4324.8391018942066</v>
      </c>
      <c r="E23" s="477">
        <f t="shared" si="5"/>
        <v>79.126616219636091</v>
      </c>
      <c r="F23" s="477">
        <f t="shared" ca="1" si="6"/>
        <v>947.09956681061783</v>
      </c>
      <c r="G23" s="477">
        <f t="shared" si="7"/>
        <v>0</v>
      </c>
      <c r="H23" s="477">
        <f t="shared" si="8"/>
        <v>0</v>
      </c>
      <c r="I23" s="477">
        <f t="shared" si="9"/>
        <v>0</v>
      </c>
      <c r="J23" s="477">
        <f t="shared" si="10"/>
        <v>9.0695700172038953E-3</v>
      </c>
      <c r="K23" s="477">
        <f t="shared" si="11"/>
        <v>0</v>
      </c>
      <c r="L23" s="477">
        <f t="shared" ca="1" si="12"/>
        <v>0</v>
      </c>
      <c r="M23" s="477">
        <f t="shared" si="13"/>
        <v>0</v>
      </c>
      <c r="N23" s="477">
        <f t="shared" ca="1" si="14"/>
        <v>0</v>
      </c>
      <c r="O23" s="477">
        <f t="shared" si="15"/>
        <v>0</v>
      </c>
      <c r="P23" s="478">
        <f t="shared" si="16"/>
        <v>0</v>
      </c>
      <c r="Q23" s="476">
        <f t="shared" ref="Q23:Q32" ca="1" si="17">SUM(B23:P23)</f>
        <v>9465.1604164540149</v>
      </c>
    </row>
    <row r="24" spans="1:17">
      <c r="A24" s="476" t="s">
        <v>194</v>
      </c>
      <c r="B24" s="477">
        <f t="shared" ca="1" si="2"/>
        <v>178.05003752742198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178.05003752742198</v>
      </c>
    </row>
    <row r="25" spans="1:17">
      <c r="A25" s="476" t="s">
        <v>112</v>
      </c>
      <c r="B25" s="477">
        <f t="shared" ca="1" si="2"/>
        <v>35.618650751501832</v>
      </c>
      <c r="C25" s="477">
        <f t="shared" ca="1" si="3"/>
        <v>0</v>
      </c>
      <c r="D25" s="477">
        <f t="shared" si="4"/>
        <v>10.680703477819307</v>
      </c>
      <c r="E25" s="477">
        <f t="shared" si="5"/>
        <v>1.1937035478241791</v>
      </c>
      <c r="F25" s="477">
        <f t="shared" si="6"/>
        <v>198.99895848707587</v>
      </c>
      <c r="G25" s="477">
        <f t="shared" si="7"/>
        <v>0</v>
      </c>
      <c r="H25" s="477">
        <f t="shared" si="8"/>
        <v>0</v>
      </c>
      <c r="I25" s="477">
        <f t="shared" si="9"/>
        <v>0</v>
      </c>
      <c r="J25" s="477">
        <f t="shared" si="10"/>
        <v>9.1755728316236436</v>
      </c>
      <c r="K25" s="477">
        <f t="shared" si="11"/>
        <v>0</v>
      </c>
      <c r="L25" s="477">
        <f t="shared" si="12"/>
        <v>0</v>
      </c>
      <c r="M25" s="477">
        <f t="shared" si="13"/>
        <v>0</v>
      </c>
      <c r="N25" s="477">
        <f t="shared" si="14"/>
        <v>0</v>
      </c>
      <c r="O25" s="477">
        <f t="shared" si="15"/>
        <v>0</v>
      </c>
      <c r="P25" s="478">
        <f t="shared" si="16"/>
        <v>0</v>
      </c>
      <c r="Q25" s="476">
        <f t="shared" ca="1" si="17"/>
        <v>255.66758909584482</v>
      </c>
    </row>
    <row r="26" spans="1:17">
      <c r="A26" s="476" t="s">
        <v>635</v>
      </c>
      <c r="B26" s="477">
        <f t="shared" ca="1" si="2"/>
        <v>3571.5043097641965</v>
      </c>
      <c r="C26" s="477">
        <f t="shared" ca="1" si="3"/>
        <v>0</v>
      </c>
      <c r="D26" s="477">
        <f t="shared" si="4"/>
        <v>4485.6580682829053</v>
      </c>
      <c r="E26" s="477">
        <f t="shared" si="5"/>
        <v>284.416688782216</v>
      </c>
      <c r="F26" s="477">
        <f t="shared" si="6"/>
        <v>1136.2856954886868</v>
      </c>
      <c r="G26" s="477">
        <f t="shared" si="7"/>
        <v>0</v>
      </c>
      <c r="H26" s="477">
        <f t="shared" si="8"/>
        <v>0</v>
      </c>
      <c r="I26" s="477">
        <f t="shared" si="9"/>
        <v>0</v>
      </c>
      <c r="J26" s="477">
        <f t="shared" si="10"/>
        <v>18.052241019441951</v>
      </c>
      <c r="K26" s="477">
        <f t="shared" si="11"/>
        <v>0</v>
      </c>
      <c r="L26" s="477">
        <f t="shared" si="12"/>
        <v>0</v>
      </c>
      <c r="M26" s="477">
        <f t="shared" si="13"/>
        <v>0</v>
      </c>
      <c r="N26" s="477">
        <f t="shared" si="14"/>
        <v>0</v>
      </c>
      <c r="O26" s="477">
        <f t="shared" si="15"/>
        <v>0</v>
      </c>
      <c r="P26" s="478">
        <f t="shared" si="16"/>
        <v>0</v>
      </c>
      <c r="Q26" s="476">
        <f t="shared" ca="1" si="17"/>
        <v>9495.9170033374467</v>
      </c>
    </row>
    <row r="27" spans="1:17" s="482" customFormat="1">
      <c r="A27" s="480" t="s">
        <v>561</v>
      </c>
      <c r="B27" s="780">
        <f t="shared" ca="1" si="2"/>
        <v>3.3319217382590041</v>
      </c>
      <c r="C27" s="481">
        <f t="shared" ca="1" si="3"/>
        <v>0</v>
      </c>
      <c r="D27" s="481">
        <f t="shared" si="4"/>
        <v>12.940326940044866</v>
      </c>
      <c r="E27" s="481">
        <f t="shared" si="5"/>
        <v>19.140300123468375</v>
      </c>
      <c r="F27" s="481">
        <f t="shared" si="6"/>
        <v>0</v>
      </c>
      <c r="G27" s="481">
        <f t="shared" si="7"/>
        <v>8760.4509626436848</v>
      </c>
      <c r="H27" s="481">
        <f t="shared" si="8"/>
        <v>1789.8200784370681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10585.683589882525</v>
      </c>
    </row>
    <row r="28" spans="1:17">
      <c r="A28" s="476" t="s">
        <v>551</v>
      </c>
      <c r="B28" s="477">
        <f t="shared" ca="1" si="2"/>
        <v>0</v>
      </c>
      <c r="C28" s="477">
        <f t="shared" ca="1" si="3"/>
        <v>0</v>
      </c>
      <c r="D28" s="477">
        <f t="shared" si="4"/>
        <v>0</v>
      </c>
      <c r="E28" s="477">
        <f t="shared" si="5"/>
        <v>0</v>
      </c>
      <c r="F28" s="477">
        <f t="shared" si="6"/>
        <v>0</v>
      </c>
      <c r="G28" s="477">
        <f t="shared" si="7"/>
        <v>267.06555772541265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267.06555772541265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120.40461065462826</v>
      </c>
      <c r="C32" s="477">
        <f t="shared" ca="1" si="3"/>
        <v>0</v>
      </c>
      <c r="D32" s="477">
        <f t="shared" si="4"/>
        <v>1492.5119823617333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1612.9165930163615</v>
      </c>
    </row>
    <row r="33" spans="1:17" s="486" customFormat="1">
      <c r="A33" s="1039" t="s">
        <v>555</v>
      </c>
      <c r="B33" s="987">
        <f ca="1">SUM(B22:B32)</f>
        <v>11928.125308924837</v>
      </c>
      <c r="C33" s="987">
        <f t="shared" ref="C33:Q33" ca="1" si="18">SUM(C22:C32)</f>
        <v>0</v>
      </c>
      <c r="D33" s="987">
        <f t="shared" ca="1" si="18"/>
        <v>22187.441707191247</v>
      </c>
      <c r="E33" s="987">
        <f t="shared" si="18"/>
        <v>1200.6916295291351</v>
      </c>
      <c r="F33" s="987">
        <f t="shared" ca="1" si="18"/>
        <v>2282.3842207863804</v>
      </c>
      <c r="G33" s="987">
        <f t="shared" si="18"/>
        <v>9027.5165203690976</v>
      </c>
      <c r="H33" s="987">
        <f t="shared" si="18"/>
        <v>1789.8200784370681</v>
      </c>
      <c r="I33" s="987">
        <f t="shared" si="18"/>
        <v>0</v>
      </c>
      <c r="J33" s="987">
        <f t="shared" si="18"/>
        <v>27.236883421082798</v>
      </c>
      <c r="K33" s="987">
        <f t="shared" si="18"/>
        <v>0</v>
      </c>
      <c r="L33" s="987">
        <f t="shared" ca="1" si="18"/>
        <v>0</v>
      </c>
      <c r="M33" s="987">
        <f t="shared" si="18"/>
        <v>0</v>
      </c>
      <c r="N33" s="987">
        <f t="shared" ca="1" si="18"/>
        <v>0</v>
      </c>
      <c r="O33" s="987">
        <f t="shared" si="18"/>
        <v>0</v>
      </c>
      <c r="P33" s="987">
        <f t="shared" si="18"/>
        <v>0</v>
      </c>
      <c r="Q33" s="987">
        <f t="shared" ca="1" si="18"/>
        <v>48443.21634865884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5939.523268877997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5939.523268877997</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0.19909096630093642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0.19909096630093642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4</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76.266666666666666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2019-08-12T08:33:32Z</dcterms:modified>
</cp:coreProperties>
</file>