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<sst xmlns="http://schemas.openxmlformats.org/spreadsheetml/2006/main" count="2392" uniqueCount="887">
  <si>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</si>
  <si>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</si>
  <si>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</si>
  <si>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</si>
  <si>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</si>
  <si>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</si>
  <si>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</si>
  <si>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</si>
  <si>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</si>
  <si>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</si>
  <si>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</si>
  <si>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</si>
  <si>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</si>
  <si>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</si>
  <si>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</si>
  <si>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</si>
  <si>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</si>
  <si>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</si>
  <si>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</si>
  <si>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</si>
  <si>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</si>
  <si>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</si>
  <si>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</si>
  <si>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</si>
  <si>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</si>
  <si>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</si>
  <si>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</si>
  <si>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</si>
  <si>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</si>
  <si>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</si>
  <si>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</si>
  <si>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</si>
  <si>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</si>
  <si>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</si>
  <si>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</si>
  <si>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</si>
  <si>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</si>
  <si>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</si>
  <si>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</si>
  <si>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</si>
  <si>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</si>
  <si>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</si>
  <si>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</si>
  <si>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</si>
  <si>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</si>
  <si>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</si>
  <si>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</si>
  <si>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</si>
  <si>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</si>
  <si>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</si>
  <si>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</si>
  <si>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</si>
  <si>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</si>
  <si>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</si>
  <si>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</si>
  <si>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</si>
  <si>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</si>
  <si>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</si>
  <si>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</si>
  <si>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</si>
  <si>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</si>
  <si>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</si>
  <si>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</si>
  <si>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</si>
  <si>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</si>
  <si>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</si>
  <si>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</si>
  <si>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</si>
  <si>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</si>
  <si>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</si>
  <si>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</si>
  <si>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</si>
  <si>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</si>
  <si>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</si>
  <si>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</si>
  <si>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</si>
  <si>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</si>
  <si>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</si>
  <si>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</si>
  <si>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</si>
  <si>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</si>
  <si>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</si>
  <si>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</si>
  <si>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</si>
  <si>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</si>
  <si>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</si>
  <si>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</si>
  <si>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</si>
  <si>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</si>
  <si>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</si>
  <si>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</si>
  <si>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</si>
  <si>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</si>
  <si>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</si>
  <si>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</si>
  <si>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</si>
  <si>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</si>
  <si>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</si>
  <si>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</si>
  <si>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</si>
  <si>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</si>
  <si>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</si>
  <si>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</si>
  <si>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</si>
  <si>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</si>
  <si>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</si>
  <si>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</si>
  <si>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</si>
  <si>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</si>
  <si>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</si>
  <si>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</si>
  <si>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</si>
  <si>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</si>
  <si>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</si>
  <si>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</si>
  <si>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</si>
  <si>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</si>
  <si>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</si>
  <si>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</si>
  <si>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</si>
  <si>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</si>
  <si>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</si>
  <si>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</si>
  <si>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</si>
  <si>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</si>
  <si>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</si>
  <si>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</si>
  <si>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</si>
  <si>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</si>
  <si>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</si>
  <si>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</si>
  <si>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</si>
  <si>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</si>
  <si>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</si>
  <si>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</si>
  <si>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</si>
  <si>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</si>
  <si>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</si>
  <si>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</si>
  <si>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</si>
  <si>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</si>
  <si>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</si>
  <si>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</si>
  <si>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</si>
  <si>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</si>
  <si>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</si>
  <si>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</si>
  <si>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</si>
  <si>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</si>
  <si>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</si>
  <si>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</si>
  <si>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</si>
  <si>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</si>
  <si>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</si>
  <si>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</si>
  <si>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</si>
  <si>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</si>
  <si>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</si>
  <si>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</si>
  <si>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</si>
  <si>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</si>
  <si>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</si>
  <si>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</si>
  <si>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</si>
  <si>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</si>
  <si>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</si>
  <si>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</si>
  <si>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</si>
  <si>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</si>
  <si>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</si>
  <si>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</si>
  <si>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</si>
  <si>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</si>
  <si>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</si>
  <si>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</si>
  <si>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</si>
  <si>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</si>
  <si>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</si>
  <si>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</si>
  <si>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</si>
  <si>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</si>
  <si>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</si>
  <si>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</si>
  <si>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</si>
  <si>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</si>
  <si>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</si>
  <si>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</si>
  <si>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</si>
  <si>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</si>
  <si>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</si>
  <si>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</si>
  <si>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</si>
  <si>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</si>
  <si>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</si>
  <si>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</si>
  <si>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</si>
  <si>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</si>
  <si>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</si>
  <si>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</si>
  <si>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</si>
  <si>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</si>
  <si>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</si>
  <si>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</si>
  <si>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</si>
  <si>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</si>
  <si>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</si>
  <si>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</si>
  <si>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</si>
  <si>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</si>
  <si>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</si>
  <si>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</si>
  <si>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</si>
  <si>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</si>
  <si>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</si>
  <si>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</si>
  <si>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</si>
  <si>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</si>
  <si>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</si>
  <si>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</si>
  <si>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</si>
  <si>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</si>
  <si>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</si>
  <si>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</si>
  <si>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</si>
  <si>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</si>
  <si>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</si>
  <si>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</si>
  <si>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</si>
  <si>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</si>
  <si>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</si>
  <si>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</si>
  <si>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</si>
  <si>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</si>
  <si>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</si>
  <si>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</si>
  <si>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</si>
  <si>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</si>
  <si>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</si>
  <si>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</si>
  <si>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</si>
  <si>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</si>
  <si>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</si>
  <si>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</si>
  <si>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</si>
  <si>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</si>
  <si>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</si>
  <si>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</si>
  <si>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</si>
  <si>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</si>
  <si>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</si>
  <si>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</si>
  <si>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</si>
  <si>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</si>
  <si>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</si>
  <si>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</si>
  <si>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</si>
  <si>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</si>
  <si>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</si>
  <si>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</si>
  <si>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</si>
  <si>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</si>
  <si>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</si>
  <si>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</si>
  <si>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</si>
  <si>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</si>
  <si>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</si>
  <si>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</si>
  <si>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</si>
  <si>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</si>
  <si>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</si>
  <si>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</si>
  <si>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</si>
  <si>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</si>
  <si>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</si>
  <si>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</si>
  <si>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</si>
  <si>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</si>
  <si>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</si>
  <si>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</si>
  <si>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</si>
  <si>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</si>
  <si>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</si>
  <si>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</si>
  <si>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</si>
  <si>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</si>
  <si>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</si>
  <si>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</si>
  <si>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</si>
  <si>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</si>
  <si>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</si>
  <si>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</si>
  <si>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</si>
  <si>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</si>
  <si>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</si>
  <si>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</si>
  <si>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</si>
  <si>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</si>
  <si>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</si>
  <si>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</si>
  <si>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</si>
  <si>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</si>
  <si>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</si>
  <si>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</si>
  <si>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</si>
  <si>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</si>
  <si>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</si>
  <si>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</si>
  <si>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</si>
  <si>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</si>
  <si>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</si>
  <si>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</si>
  <si>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</si>
  <si>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</si>
  <si>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</si>
  <si>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</si>
  <si>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</si>
  <si>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</si>
  <si>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</si>
  <si>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</si>
  <si>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</si>
  <si>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</si>
  <si>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</si>
  <si>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</si>
  <si>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</si>
  <si>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</si>
  <si>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</si>
  <si>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</si>
  <si>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</si>
  <si>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</si>
  <si>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</si>
  <si>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</si>
  <si>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</si>
  <si>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</si>
  <si>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</si>
  <si>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</si>
  <si>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</si>
  <si>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</si>
  <si>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</si>
  <si>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</si>
  <si>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</si>
  <si>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</si>
  <si>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</si>
  <si>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</si>
  <si>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</si>
  <si>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</si>
  <si>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</si>
  <si>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</si>
  <si>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</si>
  <si>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</si>
  <si>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</si>
  <si>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</si>
  <si>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</si>
  <si>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</si>
  <si>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</si>
  <si>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</si>
  <si>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</si>
  <si>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</si>
  <si>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</si>
  <si>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</si>
  <si>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</si>
  <si>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</si>
  <si>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</si>
  <si>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</si>
  <si>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</si>
  <si>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</si>
  <si>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</si>
  <si>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</si>
  <si>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</si>
  <si>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</si>
  <si>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</si>
  <si>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</si>
  <si>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</si>
  <si>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</si>
  <si>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</si>
  <si>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</si>
  <si>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</si>
  <si>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</si>
  <si>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</si>
  <si>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</si>
  <si>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</si>
  <si>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</si>
  <si>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</si>
  <si>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</si>
  <si>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</si>
  <si>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</si>
  <si>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</si>
  <si>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</si>
  <si>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</si>
  <si>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</si>
  <si>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</si>
  <si>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</si>
  <si>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</si>
  <si>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</si>
  <si>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</si>
  <si>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</si>
  <si>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</si>
  <si>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</si>
  <si>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</si>
  <si>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</si>
  <si>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</si>
  <si>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</si>
  <si>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</si>
  <si>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</si>
  <si>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</si>
  <si>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</si>
  <si>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</si>
  <si>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</si>
  <si>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</si>
  <si>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</si>
  <si>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</si>
  <si>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</si>
  <si>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</si>
  <si>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</si>
  <si>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</si>
  <si>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</si>
  <si>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</si>
  <si>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</si>
  <si>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</si>
  <si>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</si>
  <si>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</si>
  <si>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</si>
  <si>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</si>
  <si>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</si>
  <si>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</si>
  <si>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</si>
  <si>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</si>
  <si>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</si>
  <si>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</si>
  <si>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</si>
  <si>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</si>
  <si>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</si>
  <si>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</si>
  <si>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</si>
  <si>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</si>
  <si>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</si>
  <si>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</si>
  <si>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</si>
  <si>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</si>
  <si>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</si>
  <si>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</si>
  <si>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</si>
  <si>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</si>
  <si>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</si>
  <si>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</si>
  <si>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</si>
  <si>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</si>
  <si>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</si>
  <si>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</si>
  <si>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</si>
  <si>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</si>
  <si>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</si>
  <si>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</si>
  <si>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</si>
  <si>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</si>
  <si>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</si>
  <si>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</si>
  <si>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</si>
  <si>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</si>
  <si>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</si>
  <si>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</si>
  <si>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</si>
  <si>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</si>
  <si>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</si>
  <si>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</si>
  <si>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</si>
  <si>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</si>
  <si>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</si>
  <si>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</si>
  <si>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</si>
  <si>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</si>
  <si>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</si>
  <si>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</si>
  <si>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</si>
  <si>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</si>
  <si>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</si>
  <si>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</si>
  <si>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</si>
  <si>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</si>
  <si>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</si>
  <si>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</si>
  <si>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</si>
  <si>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</si>
  <si>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</si>
  <si>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</si>
  <si>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</si>
  <si>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</si>
  <si>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</si>
  <si>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</si>
  <si>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</si>
  <si>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</si>
  <si>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</si>
  <si>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</si>
  <si>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</si>
  <si>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</si>
  <si>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</si>
  <si>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</si>
  <si>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</si>
  <si>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</si>
  <si>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</si>
  <si>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</si>
  <si>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</si>
  <si>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</si>
  <si>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</si>
  <si>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</si>
  <si>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</si>
  <si>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</si>
  <si>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</si>
  <si>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</si>
  <si>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</si>
  <si>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</si>
  <si>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</si>
  <si>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</si>
  <si>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</si>
  <si>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</si>
  <si>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</si>
  <si>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</si>
  <si>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</si>
  <si>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</si>
  <si>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</si>
  <si>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</si>
  <si>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</si>
  <si>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</si>
  <si>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</si>
  <si>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</si>
  <si>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</si>
  <si>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</si>
  <si>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</si>
  <si>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</si>
  <si>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</si>
  <si>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</si>
  <si>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</si>
  <si>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</si>
  <si>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</si>
  <si>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</si>
  <si>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</si>
  <si>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</si>
  <si>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</si>
  <si>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</si>
  <si>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</si>
  <si>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</si>
  <si>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</si>
  <si>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</si>
  <si>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</si>
  <si>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</si>
  <si>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</si>
  <si>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</si>
  <si>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</si>
  <si>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</si>
  <si>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</si>
  <si>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</si>
  <si>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</si>
  <si>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</si>
  <si>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</si>
  <si>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</si>
  <si>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</si>
  <si>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</si>
  <si>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</si>
  <si>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</si>
  <si>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</si>
  <si>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</si>
  <si>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</si>
  <si>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</si>
  <si>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</si>
  <si>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</si>
  <si>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</si>
  <si>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</si>
  <si>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</si>
  <si>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</si>
  <si>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</si>
  <si>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</si>
  <si>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</si>
  <si>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</si>
  <si>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</si>
  <si>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</si>
  <si>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</si>
  <si>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</si>
  <si>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</si>
  <si>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</si>
  <si>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</si>
  <si>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</si>
  <si>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</si>
  <si>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</si>
  <si>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</si>
  <si>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</si>
  <si>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</si>
  <si>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</si>
  <si>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</si>
  <si>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</si>
  <si>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</si>
  <si>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</si>
  <si>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</si>
  <si>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</si>
  <si>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</si>
  <si>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</si>
  <si>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</si>
  <si>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</si>
  <si>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</si>
  <si>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</si>
  <si>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</si>
  <si>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</si>
  <si>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</si>
  <si>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</si>
  <si>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</si>
  <si>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</si>
  <si>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</si>
  <si>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</si>
  <si>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</si>
  <si>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</si>
  <si>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</si>
  <si>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</si>
  <si>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</si>
  <si>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</si>
  <si>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</si>
  <si>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</si>
  <si>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</si>
  <si>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</si>
  <si>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</si>
  <si>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</si>
  <si>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</si>
  <si>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</si>
  <si>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</si>
  <si>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</si>
  <si>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</si>
  <si>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</si>
  <si>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</si>
  <si>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</si>
  <si>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</si>
  <si>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</si>
  <si>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</si>
  <si>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</si>
  <si>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</si>
  <si>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</si>
  <si>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</si>
  <si>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</si>
  <si>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</si>
  <si>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</si>
  <si>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</si>
  <si>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</si>
  <si>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</si>
  <si>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</si>
  <si>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</si>
  <si>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</si>
  <si>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</si>
  <si>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</si>
  <si>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</si>
  <si>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</si>
  <si>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</si>
  <si>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</si>
  <si>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</si>
  <si>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</si>
  <si>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</si>
  <si>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</si>
  <si>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</si>
  <si>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</si>
  <si>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</si>
  <si>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</si>
  <si>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</si>
  <si>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</si>
  <si>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</si>
  <si>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</si>
  <si>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</si>
  <si>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</si>
  <si>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</si>
  <si>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</si>
  <si>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</si>
  <si>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</si>
  <si>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</si>
  <si>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</si>
  <si>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</si>
  <si>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</si>
  <si>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</si>
  <si>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</si>
  <si>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</si>
  <si>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</si>
  <si>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</si>
  <si>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</si>
  <si>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</si>
  <si>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</si>
  <si>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</si>
  <si>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</si>
  <si>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</si>
  <si>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</si>
  <si>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</si>
  <si>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</si>
  <si>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</si>
  <si>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</si>
  <si>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</si>
  <si>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</si>
  <si>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</si>
  <si>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</si>
  <si>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</si>
  <si>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</si>
  <si>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</si>
  <si>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</si>
  <si>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</si>
  <si>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</si>
  <si>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</si>
  <si>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</si>
  <si>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</si>
  <si>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</si>
  <si>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</si>
  <si>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</si>
  <si>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</si>
  <si>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</si>
  <si>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</si>
  <si>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</si>
  <si>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</si>
  <si>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</si>
  <si>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</si>
  <si>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</si>
  <si>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</si>
  <si>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</si>
  <si>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</si>
  <si>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</si>
  <si>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</si>
  <si>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</si>
  <si>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</si>
  <si>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</si>
  <si>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</si>
  <si>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</si>
  <si>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</si>
  <si>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</si>
  <si>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</si>
  <si>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</si>
  <si>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</si>
  <si>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</si>
  <si>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</si>
  <si>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</si>
  <si>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</si>
  <si>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</si>
  <si>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</si>
  <si>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</si>
  <si>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</si>
  <si>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</si>
  <si>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</si>
  <si>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</si>
  <si>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</si>
  <si>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</si>
  <si>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</si>
  <si>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</si>
  <si>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</si>
  <si>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</si>
  <si>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</si>
  <si>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</si>
  <si>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</si>
  <si>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</si>
  <si>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</si>
  <si>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</si>
  <si>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</si>
  <si>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</si>
  <si>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</si>
  <si>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</si>
  <si>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</si>
  <si>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</si>
  <si>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</si>
  <si>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</si>
  <si>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</si>
  <si>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</si>
  <si>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</si>
  <si>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</si>
  <si>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</si>
  <si>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</si>
  <si>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</si>
  <si>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</si>
  <si>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</si>
  <si>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</si>
  <si>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</si>
  <si>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</si>
  <si>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</si>
  <si>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</si>
  <si>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</si>
  <si>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</si>
  <si>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</si>
  <si>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</si>
  <si>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</si>
  <si>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</si>
  <si>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</si>
  <si>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</si>
  <si>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</si>
  <si>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</si>
  <si>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</si>
  <si>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</si>
  <si>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</si>
  <si>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</si>
  <si>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</si>
  <si>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</si>
  <si>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</si>
  <si>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</si>
  <si>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</si>
  <si>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</si>
  <si>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</si>
  <si>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</si>
  <si>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</si>
  <si>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</si>
  <si>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</si>
  <si>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</si>
  <si>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</si>
  <si>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</si>
  <si>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</si>
  <si>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</si>
  <si>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</si>
  <si>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</si>
  <si>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</si>
  <si>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</si>
  <si>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</si>
  <si>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</si>
  <si>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</si>
  <si>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</si>
  <si>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</si>
  <si>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</si>
  <si>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</si>
  <si>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</si>
  <si>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</si>
  <si>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</si>
  <si>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</si>
  <si>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</si>
  <si>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</si>
  <si>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</si>
  <si>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</si>
  <si>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</si>
  <si>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</si>
  <si>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</si>
  <si>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</si>
  <si>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</si>
  <si>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</si>
  <si>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</si>
  <si>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</si>
  <si>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</si>
  <si>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</si>
  <si>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</si>
  <si>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</si>
  <si>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</si>
  <si>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</si>
  <si>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</si>
  <si>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</si>
  <si>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</si>
  <si>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</si>
  <si>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</si>
  <si>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</si>
  <si>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</si>
  <si>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</si>
  <si>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</si>
  <si>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</si>
  <si>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</si>
  <si>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</si>
  <si>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</si>
  <si>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</si>
  <si>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</si>
  <si>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</si>
  <si>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</si>
  <si>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</si>
  <si>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</si>
  <si>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</si>
  <si>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</si>
  <si>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</si>
  <si>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</si>
  <si>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</si>
  <si>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</si>
  <si>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</si>
  <si>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</si>
  <si>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</si>
  <si>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</si>
  <si>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</si>
  <si>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</si>
  <si>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</si>
  <si>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</si>
  <si>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</si>
  <si>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</si>
  <si>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</si>
  <si>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</si>
  <si>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</si>
  <si>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</si>
  <si>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</si>
  <si>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34022</t>
  </si>
  <si>
    <t>KORTRIJK</t>
  </si>
  <si>
    <t>Eandis (januari 2018); Infrax (juni 2018)</t>
  </si>
  <si>
    <t>MOW (september 2017)</t>
  </si>
  <si>
    <t>referentietaak LNE (2017); Jaarverslag De Lijn (2016)</t>
  </si>
  <si>
    <t>VEA (april 2018)</t>
  </si>
  <si>
    <t>VEA (januari 2017)</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</si>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</sst>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534723.06289196981</c:v>
                </c:pt>
                <c:pt idx="1">
                  <c:v>454825.26612481452</c:v>
                </c:pt>
                <c:pt idx="2">
                  <c:v>6119.0190000000002</c:v>
                </c:pt>
                <c:pt idx="3">
                  <c:v>16053.54701369037</c:v>
                </c:pt>
                <c:pt idx="4">
                  <c:v>342272.45827182417</c:v>
                </c:pt>
                <c:pt idx="5">
                  <c:v>672875.46010797448</c:v>
                </c:pt>
                <c:pt idx="6">
                  <c:v>10810.358883161645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534723.06289196981</c:v>
                </c:pt>
                <c:pt idx="1">
                  <c:v>454825.26612481452</c:v>
                </c:pt>
                <c:pt idx="2">
                  <c:v>6119.0190000000002</c:v>
                </c:pt>
                <c:pt idx="3">
                  <c:v>16053.54701369037</c:v>
                </c:pt>
                <c:pt idx="4">
                  <c:v>342272.45827182417</c:v>
                </c:pt>
                <c:pt idx="5">
                  <c:v>672875.46010797448</c:v>
                </c:pt>
                <c:pt idx="6">
                  <c:v>10810.358883161645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101235.41360729429</c:v>
                </c:pt>
                <c:pt idx="2">
                  <c:v>90719.993958745268</c:v>
                </c:pt>
                <c:pt idx="3">
                  <c:v>1246.7702038899752</c:v>
                </c:pt>
                <c:pt idx="4">
                  <c:v>4087.1879339225047</c:v>
                </c:pt>
                <c:pt idx="5">
                  <c:v>59815.881118895515</c:v>
                </c:pt>
                <c:pt idx="6">
                  <c:v>168710.66765108219</c:v>
                </c:pt>
                <c:pt idx="7">
                  <c:v>2731.2432618150679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101235.41360729429</c:v>
                </c:pt>
                <c:pt idx="2">
                  <c:v>90719.993958745268</c:v>
                </c:pt>
                <c:pt idx="3">
                  <c:v>1246.7702038899752</c:v>
                </c:pt>
                <c:pt idx="4">
                  <c:v>4087.1879339225047</c:v>
                </c:pt>
                <c:pt idx="5">
                  <c:v>59815.881118895515</c:v>
                </c:pt>
                <c:pt idx="6">
                  <c:v>168710.66765108219</c:v>
                </c:pt>
                <c:pt idx="7">
                  <c:v>2731.2432618150679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34022</v>
      </c>
      <c r="B6" s="415"/>
      <c r="C6" s="416"/>
    </row>
    <row r="7" spans="1:7" s="413" customFormat="1" ht="15.75" customHeight="1">
      <c r="A7" s="417" t="str">
        <f>txtMunicipality</f>
        <v>KORTRIJK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189380.84181796477</v>
      </c>
      <c r="D10" s="1013">
        <f ca="1">tertiair!C16</f>
        <v>916.07142857142856</v>
      </c>
      <c r="E10" s="1013">
        <f ca="1">tertiair!D16</f>
        <v>219446.93511648857</v>
      </c>
      <c r="F10" s="1013">
        <f>tertiair!E16</f>
        <v>2108.1251540347484</v>
      </c>
      <c r="G10" s="1013">
        <f ca="1">tertiair!F16</f>
        <v>31292.569891435051</v>
      </c>
      <c r="H10" s="1013">
        <f>tertiair!G16</f>
        <v>0</v>
      </c>
      <c r="I10" s="1013">
        <f>tertiair!H16</f>
        <v>0</v>
      </c>
      <c r="J10" s="1013">
        <f>tertiair!I16</f>
        <v>0</v>
      </c>
      <c r="K10" s="1013">
        <f>tertiair!J16</f>
        <v>0.43205794614142456</v>
      </c>
      <c r="L10" s="1013">
        <f>tertiair!K16</f>
        <v>0</v>
      </c>
      <c r="M10" s="1013">
        <f ca="1">tertiair!L16</f>
        <v>0</v>
      </c>
      <c r="N10" s="1013">
        <f>tertiair!M16</f>
        <v>0</v>
      </c>
      <c r="O10" s="1013">
        <f ca="1">tertiair!N16</f>
        <v>17527.99299170712</v>
      </c>
      <c r="P10" s="1013">
        <f>tertiair!O16</f>
        <v>23.45</v>
      </c>
      <c r="Q10" s="1014">
        <f>tertiair!P16</f>
        <v>247.86666666666667</v>
      </c>
      <c r="R10" s="700">
        <f ca="1">SUM(C10:Q10)</f>
        <v>460944.28512481449</v>
      </c>
      <c r="S10" s="67"/>
    </row>
    <row r="11" spans="1:19" s="473" customFormat="1">
      <c r="A11" s="809" t="s">
        <v>225</v>
      </c>
      <c r="B11" s="814"/>
      <c r="C11" s="1013">
        <f>huishoudens!B8</f>
        <v>115686.87139493227</v>
      </c>
      <c r="D11" s="1013">
        <f>huishoudens!C8</f>
        <v>0</v>
      </c>
      <c r="E11" s="1013">
        <f>huishoudens!D8</f>
        <v>338893.8522766956</v>
      </c>
      <c r="F11" s="1013">
        <f>huishoudens!E8</f>
        <v>8484.5514072493315</v>
      </c>
      <c r="G11" s="1013">
        <f>huishoudens!F8</f>
        <v>27270.7211481495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41011.936664943045</v>
      </c>
      <c r="P11" s="1013">
        <f>huishoudens!O8</f>
        <v>1048.9966666666669</v>
      </c>
      <c r="Q11" s="1014">
        <f>huishoudens!P8</f>
        <v>2326.1333333333332</v>
      </c>
      <c r="R11" s="700">
        <f>SUM(C11:Q11)</f>
        <v>534723.06289196981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94393.061603080976</v>
      </c>
      <c r="D13" s="1013">
        <f>industrie!C18</f>
        <v>0</v>
      </c>
      <c r="E13" s="1013">
        <f>industrie!D18</f>
        <v>168469.35246352345</v>
      </c>
      <c r="F13" s="1013">
        <f>industrie!E18</f>
        <v>5618.310399988166</v>
      </c>
      <c r="G13" s="1013">
        <f>industrie!F18</f>
        <v>19564.600940515287</v>
      </c>
      <c r="H13" s="1013">
        <f>industrie!G18</f>
        <v>0</v>
      </c>
      <c r="I13" s="1013">
        <f>industrie!H18</f>
        <v>0</v>
      </c>
      <c r="J13" s="1013">
        <f>industrie!I18</f>
        <v>0</v>
      </c>
      <c r="K13" s="1013">
        <f>industrie!J18</f>
        <v>149.91782313654929</v>
      </c>
      <c r="L13" s="1013">
        <f>industrie!K18</f>
        <v>0</v>
      </c>
      <c r="M13" s="1013">
        <f>industrie!L18</f>
        <v>0</v>
      </c>
      <c r="N13" s="1013">
        <f>industrie!M18</f>
        <v>0</v>
      </c>
      <c r="O13" s="1013">
        <f>industrie!N18</f>
        <v>54077.215041579722</v>
      </c>
      <c r="P13" s="1013">
        <f>industrie!O18</f>
        <v>0</v>
      </c>
      <c r="Q13" s="1014">
        <f>industrie!P18</f>
        <v>0</v>
      </c>
      <c r="R13" s="700">
        <f>SUM(C13:Q13)</f>
        <v>342272.45827182417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399460.77481597802</v>
      </c>
      <c r="D16" s="732">
        <f t="shared" ref="D16:R16" ca="1" si="0">SUM(D9:D15)</f>
        <v>916.07142857142856</v>
      </c>
      <c r="E16" s="732">
        <f t="shared" ca="1" si="0"/>
        <v>726810.13985670754</v>
      </c>
      <c r="F16" s="732">
        <f t="shared" si="0"/>
        <v>16210.986961272245</v>
      </c>
      <c r="G16" s="732">
        <f t="shared" ca="1" si="0"/>
        <v>78127.891980099841</v>
      </c>
      <c r="H16" s="732">
        <f t="shared" si="0"/>
        <v>0</v>
      </c>
      <c r="I16" s="732">
        <f t="shared" si="0"/>
        <v>0</v>
      </c>
      <c r="J16" s="732">
        <f t="shared" si="0"/>
        <v>0</v>
      </c>
      <c r="K16" s="732">
        <f t="shared" si="0"/>
        <v>150.3498810826907</v>
      </c>
      <c r="L16" s="732">
        <f t="shared" si="0"/>
        <v>0</v>
      </c>
      <c r="M16" s="732">
        <f t="shared" ca="1" si="0"/>
        <v>0</v>
      </c>
      <c r="N16" s="732">
        <f t="shared" si="0"/>
        <v>0</v>
      </c>
      <c r="O16" s="732">
        <f t="shared" ca="1" si="0"/>
        <v>112617.14469822988</v>
      </c>
      <c r="P16" s="732">
        <f t="shared" si="0"/>
        <v>1072.4466666666669</v>
      </c>
      <c r="Q16" s="732">
        <f t="shared" si="0"/>
        <v>2574</v>
      </c>
      <c r="R16" s="732">
        <f t="shared" ca="1" si="0"/>
        <v>1337939.8062886083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10229.375512415983</v>
      </c>
      <c r="I19" s="1013">
        <f>transport!H54</f>
        <v>0</v>
      </c>
      <c r="J19" s="1013">
        <f>transport!I54</f>
        <v>0</v>
      </c>
      <c r="K19" s="1013">
        <f>transport!J54</f>
        <v>0</v>
      </c>
      <c r="L19" s="1013">
        <f>transport!K54</f>
        <v>0</v>
      </c>
      <c r="M19" s="1013">
        <f>transport!L54</f>
        <v>0</v>
      </c>
      <c r="N19" s="1013">
        <f>transport!M54</f>
        <v>580.98337074566189</v>
      </c>
      <c r="O19" s="1013">
        <f>transport!N54</f>
        <v>0</v>
      </c>
      <c r="P19" s="1013">
        <f>transport!O54</f>
        <v>0</v>
      </c>
      <c r="Q19" s="1014">
        <f>transport!P54</f>
        <v>0</v>
      </c>
      <c r="R19" s="700">
        <f>SUM(C19:Q19)</f>
        <v>10810.358883161645</v>
      </c>
      <c r="S19" s="67"/>
    </row>
    <row r="20" spans="1:19" s="473" customFormat="1">
      <c r="A20" s="809" t="s">
        <v>307</v>
      </c>
      <c r="B20" s="814"/>
      <c r="C20" s="1013">
        <f>transport!B14</f>
        <v>226.25972750856718</v>
      </c>
      <c r="D20" s="1013">
        <f>transport!C14</f>
        <v>0</v>
      </c>
      <c r="E20" s="1013">
        <f>transport!D14</f>
        <v>771.99892515596218</v>
      </c>
      <c r="F20" s="1013">
        <f>transport!E14</f>
        <v>1145.8825822376766</v>
      </c>
      <c r="G20" s="1013">
        <f>transport!F14</f>
        <v>0</v>
      </c>
      <c r="H20" s="1013">
        <f>transport!G14</f>
        <v>547273.21275136957</v>
      </c>
      <c r="I20" s="1013">
        <f>transport!H14</f>
        <v>88861.684961253108</v>
      </c>
      <c r="J20" s="1013">
        <f>transport!I14</f>
        <v>0</v>
      </c>
      <c r="K20" s="1013">
        <f>transport!J14</f>
        <v>0</v>
      </c>
      <c r="L20" s="1013">
        <f>transport!K14</f>
        <v>0</v>
      </c>
      <c r="M20" s="1013">
        <f>transport!L14</f>
        <v>0</v>
      </c>
      <c r="N20" s="1013">
        <f>transport!M14</f>
        <v>34596.42116044963</v>
      </c>
      <c r="O20" s="1013">
        <f>transport!N14</f>
        <v>0</v>
      </c>
      <c r="P20" s="1013">
        <f>transport!O14</f>
        <v>0</v>
      </c>
      <c r="Q20" s="1014">
        <f>transport!P14</f>
        <v>0</v>
      </c>
      <c r="R20" s="700">
        <f>SUM(C20:Q20)</f>
        <v>672875.46010797448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226.25972750856718</v>
      </c>
      <c r="D22" s="812">
        <f t="shared" ref="D22:R22" si="1">SUM(D18:D21)</f>
        <v>0</v>
      </c>
      <c r="E22" s="812">
        <f t="shared" si="1"/>
        <v>771.99892515596218</v>
      </c>
      <c r="F22" s="812">
        <f t="shared" si="1"/>
        <v>1145.8825822376766</v>
      </c>
      <c r="G22" s="812">
        <f t="shared" si="1"/>
        <v>0</v>
      </c>
      <c r="H22" s="812">
        <f t="shared" si="1"/>
        <v>557502.58826378558</v>
      </c>
      <c r="I22" s="812">
        <f t="shared" si="1"/>
        <v>88861.684961253108</v>
      </c>
      <c r="J22" s="812">
        <f t="shared" si="1"/>
        <v>0</v>
      </c>
      <c r="K22" s="812">
        <f t="shared" si="1"/>
        <v>0</v>
      </c>
      <c r="L22" s="812">
        <f t="shared" si="1"/>
        <v>0</v>
      </c>
      <c r="M22" s="812">
        <f t="shared" si="1"/>
        <v>0</v>
      </c>
      <c r="N22" s="812">
        <f t="shared" si="1"/>
        <v>35177.404531195294</v>
      </c>
      <c r="O22" s="812">
        <f t="shared" si="1"/>
        <v>0</v>
      </c>
      <c r="P22" s="812">
        <f t="shared" si="1"/>
        <v>0</v>
      </c>
      <c r="Q22" s="812">
        <f t="shared" si="1"/>
        <v>0</v>
      </c>
      <c r="R22" s="812">
        <f t="shared" si="1"/>
        <v>683685.81899113616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2859.40568293357</v>
      </c>
      <c r="D24" s="1013">
        <f>+landbouw!C8</f>
        <v>0</v>
      </c>
      <c r="E24" s="1013">
        <f>+landbouw!D8</f>
        <v>783.69862615702084</v>
      </c>
      <c r="F24" s="1013">
        <f>+landbouw!E8</f>
        <v>84.04666665442231</v>
      </c>
      <c r="G24" s="1013">
        <f>+landbouw!F8</f>
        <v>11912.129560928235</v>
      </c>
      <c r="H24" s="1013">
        <f>+landbouw!G8</f>
        <v>0</v>
      </c>
      <c r="I24" s="1013">
        <f>+landbouw!H8</f>
        <v>0</v>
      </c>
      <c r="J24" s="1013">
        <f>+landbouw!I8</f>
        <v>0</v>
      </c>
      <c r="K24" s="1013">
        <f>+landbouw!J8</f>
        <v>414.26647701712068</v>
      </c>
      <c r="L24" s="1013">
        <f>+landbouw!K8</f>
        <v>0</v>
      </c>
      <c r="M24" s="1013">
        <f>+landbouw!L8</f>
        <v>0</v>
      </c>
      <c r="N24" s="1013">
        <f>+landbouw!M8</f>
        <v>0</v>
      </c>
      <c r="O24" s="1013">
        <f>+landbouw!N8</f>
        <v>0</v>
      </c>
      <c r="P24" s="1013">
        <f>+landbouw!O8</f>
        <v>0</v>
      </c>
      <c r="Q24" s="1014">
        <f>+landbouw!P8</f>
        <v>0</v>
      </c>
      <c r="R24" s="700">
        <f>SUM(C24:Q24)</f>
        <v>16053.54701369037</v>
      </c>
      <c r="S24" s="67"/>
    </row>
    <row r="25" spans="1:19" s="473" customFormat="1" ht="15" thickBot="1">
      <c r="A25" s="831" t="s">
        <v>836</v>
      </c>
      <c r="B25" s="1016"/>
      <c r="C25" s="1017">
        <f>IF(Onbekend_ele_kWh="---",0,Onbekend_ele_kWh)/1000+IF(REST_rest_ele_kWh="---",0,REST_rest_ele_kWh)/1000</f>
        <v>5683.08162217887</v>
      </c>
      <c r="D25" s="1017"/>
      <c r="E25" s="1017">
        <f>IF(onbekend_gas_kWh="---",0,onbekend_gas_kWh)/1000+IF(REST_rest_gas_kWh="---",0,REST_rest_gas_kWh)/1000</f>
        <v>27558.380853711798</v>
      </c>
      <c r="F25" s="1017"/>
      <c r="G25" s="1017"/>
      <c r="H25" s="1017"/>
      <c r="I25" s="1017"/>
      <c r="J25" s="1017"/>
      <c r="K25" s="1017"/>
      <c r="L25" s="1017"/>
      <c r="M25" s="1017"/>
      <c r="N25" s="1017"/>
      <c r="O25" s="1017"/>
      <c r="P25" s="1017"/>
      <c r="Q25" s="1018"/>
      <c r="R25" s="700">
        <f>SUM(C25:Q25)</f>
        <v>33241.462475890672</v>
      </c>
      <c r="S25" s="67"/>
    </row>
    <row r="26" spans="1:19" s="473" customFormat="1" ht="15.75" thickBot="1">
      <c r="A26" s="705" t="s">
        <v>837</v>
      </c>
      <c r="B26" s="817"/>
      <c r="C26" s="812">
        <f>SUM(C24:C25)</f>
        <v>8542.4873051124396</v>
      </c>
      <c r="D26" s="812">
        <f t="shared" ref="D26:R26" si="2">SUM(D24:D25)</f>
        <v>0</v>
      </c>
      <c r="E26" s="812">
        <f t="shared" si="2"/>
        <v>28342.079479868818</v>
      </c>
      <c r="F26" s="812">
        <f t="shared" si="2"/>
        <v>84.04666665442231</v>
      </c>
      <c r="G26" s="812">
        <f t="shared" si="2"/>
        <v>11912.129560928235</v>
      </c>
      <c r="H26" s="812">
        <f t="shared" si="2"/>
        <v>0</v>
      </c>
      <c r="I26" s="812">
        <f t="shared" si="2"/>
        <v>0</v>
      </c>
      <c r="J26" s="812">
        <f t="shared" si="2"/>
        <v>0</v>
      </c>
      <c r="K26" s="812">
        <f t="shared" si="2"/>
        <v>414.26647701712068</v>
      </c>
      <c r="L26" s="812">
        <f t="shared" si="2"/>
        <v>0</v>
      </c>
      <c r="M26" s="812">
        <f t="shared" si="2"/>
        <v>0</v>
      </c>
      <c r="N26" s="812">
        <f t="shared" si="2"/>
        <v>0</v>
      </c>
      <c r="O26" s="812">
        <f t="shared" si="2"/>
        <v>0</v>
      </c>
      <c r="P26" s="812">
        <f t="shared" si="2"/>
        <v>0</v>
      </c>
      <c r="Q26" s="812">
        <f t="shared" si="2"/>
        <v>0</v>
      </c>
      <c r="R26" s="812">
        <f t="shared" si="2"/>
        <v>49295.00948958104</v>
      </c>
      <c r="S26" s="67"/>
    </row>
    <row r="27" spans="1:19" s="473" customFormat="1" ht="17.25" thickTop="1" thickBot="1">
      <c r="A27" s="706" t="s">
        <v>116</v>
      </c>
      <c r="B27" s="805"/>
      <c r="C27" s="707">
        <f ca="1">C22+C16+C26</f>
        <v>408229.52184859902</v>
      </c>
      <c r="D27" s="707">
        <f t="shared" ref="D27:R27" ca="1" si="3">D22+D16+D26</f>
        <v>916.07142857142856</v>
      </c>
      <c r="E27" s="707">
        <f t="shared" ca="1" si="3"/>
        <v>755924.21826173237</v>
      </c>
      <c r="F27" s="707">
        <f t="shared" si="3"/>
        <v>17440.916210164345</v>
      </c>
      <c r="G27" s="707">
        <f t="shared" ca="1" si="3"/>
        <v>90040.02154102808</v>
      </c>
      <c r="H27" s="707">
        <f t="shared" si="3"/>
        <v>557502.58826378558</v>
      </c>
      <c r="I27" s="707">
        <f t="shared" si="3"/>
        <v>88861.684961253108</v>
      </c>
      <c r="J27" s="707">
        <f t="shared" si="3"/>
        <v>0</v>
      </c>
      <c r="K27" s="707">
        <f t="shared" si="3"/>
        <v>564.61635809981135</v>
      </c>
      <c r="L27" s="707">
        <f t="shared" si="3"/>
        <v>0</v>
      </c>
      <c r="M27" s="707">
        <f t="shared" ca="1" si="3"/>
        <v>0</v>
      </c>
      <c r="N27" s="707">
        <f t="shared" si="3"/>
        <v>35177.404531195294</v>
      </c>
      <c r="O27" s="707">
        <f t="shared" ca="1" si="3"/>
        <v>112617.14469822988</v>
      </c>
      <c r="P27" s="707">
        <f t="shared" si="3"/>
        <v>1072.4466666666669</v>
      </c>
      <c r="Q27" s="707">
        <f t="shared" si="3"/>
        <v>2574</v>
      </c>
      <c r="R27" s="707">
        <f t="shared" ca="1" si="3"/>
        <v>2070920.6347693256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38586.968068940303</v>
      </c>
      <c r="D40" s="1013">
        <f ca="1">tertiair!C20</f>
        <v>217.70168067226894</v>
      </c>
      <c r="E40" s="1013">
        <f ca="1">tertiair!D20</f>
        <v>44328.280893530697</v>
      </c>
      <c r="F40" s="1013">
        <f>tertiair!E20</f>
        <v>478.54440996588789</v>
      </c>
      <c r="G40" s="1013">
        <f ca="1">tertiair!F20</f>
        <v>8355.1161610131585</v>
      </c>
      <c r="H40" s="1013">
        <f>tertiair!G20</f>
        <v>0</v>
      </c>
      <c r="I40" s="1013">
        <f>tertiair!H20</f>
        <v>0</v>
      </c>
      <c r="J40" s="1013">
        <f>tertiair!I20</f>
        <v>0</v>
      </c>
      <c r="K40" s="1013">
        <f>tertiair!J20</f>
        <v>0.15294851293406428</v>
      </c>
      <c r="L40" s="1013">
        <f>tertiair!K20</f>
        <v>0</v>
      </c>
      <c r="M40" s="1013">
        <f ca="1">tertiair!L20</f>
        <v>0</v>
      </c>
      <c r="N40" s="1013">
        <f>tertiair!M20</f>
        <v>0</v>
      </c>
      <c r="O40" s="1013">
        <f ca="1">tertiair!N20</f>
        <v>0</v>
      </c>
      <c r="P40" s="1013">
        <f>tertiair!O20</f>
        <v>0</v>
      </c>
      <c r="Q40" s="774">
        <f>tertiair!P20</f>
        <v>0</v>
      </c>
      <c r="R40" s="850">
        <f t="shared" ca="1" si="4"/>
        <v>91966.764162635242</v>
      </c>
    </row>
    <row r="41" spans="1:18">
      <c r="A41" s="822" t="s">
        <v>225</v>
      </c>
      <c r="B41" s="829"/>
      <c r="C41" s="1013">
        <f ca="1">huishoudens!B12</f>
        <v>23571.579731400252</v>
      </c>
      <c r="D41" s="1013">
        <f ca="1">huishoudens!C12</f>
        <v>0</v>
      </c>
      <c r="E41" s="1013">
        <f>huishoudens!D12</f>
        <v>68456.55815989252</v>
      </c>
      <c r="F41" s="1013">
        <f>huishoudens!E12</f>
        <v>1925.9931694455984</v>
      </c>
      <c r="G41" s="1013">
        <f>huishoudens!F12</f>
        <v>7281.2825465559172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101235.41360729429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19232.896099958547</v>
      </c>
      <c r="D43" s="1013">
        <f ca="1">industrie!C22</f>
        <v>0</v>
      </c>
      <c r="E43" s="1013">
        <f>industrie!D22</f>
        <v>34030.809197631737</v>
      </c>
      <c r="F43" s="1013">
        <f>industrie!E22</f>
        <v>1275.3564607973137</v>
      </c>
      <c r="G43" s="1013">
        <f>industrie!F22</f>
        <v>5223.7484511175817</v>
      </c>
      <c r="H43" s="1013">
        <f>industrie!G22</f>
        <v>0</v>
      </c>
      <c r="I43" s="1013">
        <f>industrie!H22</f>
        <v>0</v>
      </c>
      <c r="J43" s="1013">
        <f>industrie!I22</f>
        <v>0</v>
      </c>
      <c r="K43" s="1013">
        <f>industrie!J22</f>
        <v>53.070909390338443</v>
      </c>
      <c r="L43" s="1013">
        <f>industrie!K22</f>
        <v>0</v>
      </c>
      <c r="M43" s="1013">
        <f>industrie!L22</f>
        <v>0</v>
      </c>
      <c r="N43" s="1013">
        <f>industrie!M22</f>
        <v>0</v>
      </c>
      <c r="O43" s="1013">
        <f>industrie!N22</f>
        <v>0</v>
      </c>
      <c r="P43" s="1013">
        <f>industrie!O22</f>
        <v>0</v>
      </c>
      <c r="Q43" s="774">
        <f>industrie!P22</f>
        <v>0</v>
      </c>
      <c r="R43" s="849">
        <f t="shared" ca="1" si="4"/>
        <v>59815.881118895515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81391.443900299113</v>
      </c>
      <c r="D46" s="732">
        <f t="shared" ref="D46:Q46" ca="1" si="5">SUM(D39:D45)</f>
        <v>217.70168067226894</v>
      </c>
      <c r="E46" s="732">
        <f t="shared" ca="1" si="5"/>
        <v>146815.64825105495</v>
      </c>
      <c r="F46" s="732">
        <f t="shared" si="5"/>
        <v>3679.8940402088001</v>
      </c>
      <c r="G46" s="732">
        <f t="shared" ca="1" si="5"/>
        <v>20860.147158686657</v>
      </c>
      <c r="H46" s="732">
        <f t="shared" si="5"/>
        <v>0</v>
      </c>
      <c r="I46" s="732">
        <f t="shared" si="5"/>
        <v>0</v>
      </c>
      <c r="J46" s="732">
        <f t="shared" si="5"/>
        <v>0</v>
      </c>
      <c r="K46" s="732">
        <f t="shared" si="5"/>
        <v>53.22385790327251</v>
      </c>
      <c r="L46" s="732">
        <f t="shared" si="5"/>
        <v>0</v>
      </c>
      <c r="M46" s="732">
        <f t="shared" ca="1" si="5"/>
        <v>0</v>
      </c>
      <c r="N46" s="732">
        <f t="shared" si="5"/>
        <v>0</v>
      </c>
      <c r="O46" s="732">
        <f t="shared" ca="1" si="5"/>
        <v>0</v>
      </c>
      <c r="P46" s="732">
        <f t="shared" si="5"/>
        <v>0</v>
      </c>
      <c r="Q46" s="732">
        <f t="shared" si="5"/>
        <v>0</v>
      </c>
      <c r="R46" s="732">
        <f ca="1">SUM(R39:R45)</f>
        <v>253018.05888882503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2731.2432618150679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2731.2432618150679</v>
      </c>
    </row>
    <row r="50" spans="1:18">
      <c r="A50" s="825" t="s">
        <v>307</v>
      </c>
      <c r="B50" s="835"/>
      <c r="C50" s="703">
        <f ca="1">transport!B18</f>
        <v>46.101162065021619</v>
      </c>
      <c r="D50" s="703">
        <f>transport!C18</f>
        <v>0</v>
      </c>
      <c r="E50" s="703">
        <f>transport!D18</f>
        <v>155.94378288150438</v>
      </c>
      <c r="F50" s="703">
        <f>transport!E18</f>
        <v>260.11534616795262</v>
      </c>
      <c r="G50" s="703">
        <f>transport!F18</f>
        <v>0</v>
      </c>
      <c r="H50" s="703">
        <f>transport!G18</f>
        <v>146121.94780461569</v>
      </c>
      <c r="I50" s="703">
        <f>transport!H18</f>
        <v>22126.559555352025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168710.66765108219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46.101162065021619</v>
      </c>
      <c r="D52" s="732">
        <f t="shared" ref="D52:Q52" ca="1" si="6">SUM(D48:D51)</f>
        <v>0</v>
      </c>
      <c r="E52" s="732">
        <f t="shared" si="6"/>
        <v>155.94378288150438</v>
      </c>
      <c r="F52" s="732">
        <f t="shared" si="6"/>
        <v>260.11534616795262</v>
      </c>
      <c r="G52" s="732">
        <f t="shared" si="6"/>
        <v>0</v>
      </c>
      <c r="H52" s="732">
        <f t="shared" si="6"/>
        <v>148853.19106643077</v>
      </c>
      <c r="I52" s="732">
        <f t="shared" si="6"/>
        <v>22126.559555352025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171441.91091289726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582.6132924763333</v>
      </c>
      <c r="D54" s="703">
        <f ca="1">+landbouw!C12</f>
        <v>0</v>
      </c>
      <c r="E54" s="703">
        <f>+landbouw!D12</f>
        <v>158.30712248371822</v>
      </c>
      <c r="F54" s="703">
        <f>+landbouw!E12</f>
        <v>19.078593330553865</v>
      </c>
      <c r="G54" s="703">
        <f>+landbouw!F12</f>
        <v>3180.538592767839</v>
      </c>
      <c r="H54" s="703">
        <f>+landbouw!G12</f>
        <v>0</v>
      </c>
      <c r="I54" s="703">
        <f>+landbouw!H12</f>
        <v>0</v>
      </c>
      <c r="J54" s="703">
        <f>+landbouw!I12</f>
        <v>0</v>
      </c>
      <c r="K54" s="703">
        <f>+landbouw!J12</f>
        <v>146.65033286406072</v>
      </c>
      <c r="L54" s="703">
        <f>+landbouw!K12</f>
        <v>0</v>
      </c>
      <c r="M54" s="703">
        <f>+landbouw!L12</f>
        <v>0</v>
      </c>
      <c r="N54" s="703">
        <f>+landbouw!M12</f>
        <v>0</v>
      </c>
      <c r="O54" s="703">
        <f>+landbouw!N12</f>
        <v>0</v>
      </c>
      <c r="P54" s="703">
        <f>+landbouw!O12</f>
        <v>0</v>
      </c>
      <c r="Q54" s="704">
        <f>+landbouw!P12</f>
        <v>0</v>
      </c>
      <c r="R54" s="731">
        <f ca="1">SUM(C54:Q54)</f>
        <v>4087.1879339225047</v>
      </c>
    </row>
    <row r="55" spans="1:18" ht="15" thickBot="1">
      <c r="A55" s="825" t="s">
        <v>836</v>
      </c>
      <c r="B55" s="835"/>
      <c r="C55" s="703">
        <f ca="1">C25*'EF ele_warmte'!B12</f>
        <v>1157.9465324110483</v>
      </c>
      <c r="D55" s="703"/>
      <c r="E55" s="703">
        <f>E25*EF_CO2_aardgas</f>
        <v>5566.7929324497836</v>
      </c>
      <c r="F55" s="703"/>
      <c r="G55" s="703"/>
      <c r="H55" s="703"/>
      <c r="I55" s="703"/>
      <c r="J55" s="703"/>
      <c r="K55" s="703"/>
      <c r="L55" s="703"/>
      <c r="M55" s="703"/>
      <c r="N55" s="703"/>
      <c r="O55" s="703"/>
      <c r="P55" s="703"/>
      <c r="Q55" s="704"/>
      <c r="R55" s="731">
        <f ca="1">SUM(C55:Q55)</f>
        <v>6724.7394648608315</v>
      </c>
    </row>
    <row r="56" spans="1:18" ht="15.75" thickBot="1">
      <c r="A56" s="823" t="s">
        <v>837</v>
      </c>
      <c r="B56" s="836"/>
      <c r="C56" s="732">
        <f ca="1">SUM(C54:C55)</f>
        <v>1740.5598248873816</v>
      </c>
      <c r="D56" s="732">
        <f t="shared" ref="D56:Q56" ca="1" si="7">SUM(D54:D55)</f>
        <v>0</v>
      </c>
      <c r="E56" s="732">
        <f t="shared" si="7"/>
        <v>5725.1000549335022</v>
      </c>
      <c r="F56" s="732">
        <f t="shared" si="7"/>
        <v>19.078593330553865</v>
      </c>
      <c r="G56" s="732">
        <f t="shared" si="7"/>
        <v>3180.538592767839</v>
      </c>
      <c r="H56" s="732">
        <f t="shared" si="7"/>
        <v>0</v>
      </c>
      <c r="I56" s="732">
        <f t="shared" si="7"/>
        <v>0</v>
      </c>
      <c r="J56" s="732">
        <f t="shared" si="7"/>
        <v>0</v>
      </c>
      <c r="K56" s="732">
        <f t="shared" si="7"/>
        <v>146.65033286406072</v>
      </c>
      <c r="L56" s="732">
        <f t="shared" si="7"/>
        <v>0</v>
      </c>
      <c r="M56" s="732">
        <f t="shared" si="7"/>
        <v>0</v>
      </c>
      <c r="N56" s="732">
        <f t="shared" si="7"/>
        <v>0</v>
      </c>
      <c r="O56" s="732">
        <f t="shared" si="7"/>
        <v>0</v>
      </c>
      <c r="P56" s="732">
        <f t="shared" si="7"/>
        <v>0</v>
      </c>
      <c r="Q56" s="733">
        <f t="shared" si="7"/>
        <v>0</v>
      </c>
      <c r="R56" s="734">
        <f ca="1">SUM(R54:R55)</f>
        <v>10811.927398783337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83178.104887251524</v>
      </c>
      <c r="D61" s="740">
        <f t="shared" ref="D61:Q61" ca="1" si="8">D46+D52+D56</f>
        <v>217.70168067226894</v>
      </c>
      <c r="E61" s="740">
        <f t="shared" ca="1" si="8"/>
        <v>152696.69208886998</v>
      </c>
      <c r="F61" s="740">
        <f t="shared" si="8"/>
        <v>3959.0879797073067</v>
      </c>
      <c r="G61" s="740">
        <f t="shared" ca="1" si="8"/>
        <v>24040.685751454497</v>
      </c>
      <c r="H61" s="740">
        <f t="shared" si="8"/>
        <v>148853.19106643077</v>
      </c>
      <c r="I61" s="740">
        <f t="shared" si="8"/>
        <v>22126.559555352025</v>
      </c>
      <c r="J61" s="740">
        <f t="shared" si="8"/>
        <v>0</v>
      </c>
      <c r="K61" s="740">
        <f t="shared" si="8"/>
        <v>199.87419076733323</v>
      </c>
      <c r="L61" s="740">
        <f t="shared" si="8"/>
        <v>0</v>
      </c>
      <c r="M61" s="740">
        <f t="shared" ca="1" si="8"/>
        <v>0</v>
      </c>
      <c r="N61" s="740">
        <f t="shared" si="8"/>
        <v>0</v>
      </c>
      <c r="O61" s="740">
        <f t="shared" ca="1" si="8"/>
        <v>0</v>
      </c>
      <c r="P61" s="740">
        <f t="shared" si="8"/>
        <v>0</v>
      </c>
      <c r="Q61" s="740">
        <f t="shared" si="8"/>
        <v>0</v>
      </c>
      <c r="R61" s="740">
        <f ca="1">R46+R52+R56</f>
        <v>435271.89720050566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0.20375328200320597</v>
      </c>
      <c r="D63" s="781">
        <f t="shared" ca="1" si="9"/>
        <v>0.23764705882352943</v>
      </c>
      <c r="E63" s="1024">
        <f t="shared" ca="1" si="9"/>
        <v>0.20200000000000007</v>
      </c>
      <c r="F63" s="781">
        <f t="shared" si="9"/>
        <v>0.22700000000000001</v>
      </c>
      <c r="G63" s="781">
        <f t="shared" ca="1" si="9"/>
        <v>0.26700000000000002</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10334.688751527792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21571.620604849864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641.25</v>
      </c>
      <c r="D76" s="1034">
        <f>'lokale energieproductie'!C8</f>
        <v>754.41176470588255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152.39117647058828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31906.309356377657</v>
      </c>
      <c r="C78" s="755">
        <f>SUM(C72:C77)</f>
        <v>641.25</v>
      </c>
      <c r="D78" s="756">
        <f t="shared" ref="D78:H78" si="10">SUM(D76:D77)</f>
        <v>754.41176470588255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152.39117647058828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916.07142857142856</v>
      </c>
      <c r="D87" s="777">
        <f>'lokale energieproductie'!C17</f>
        <v>1077.7310924369749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217.70168067226894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916.07142857142856</v>
      </c>
      <c r="D90" s="755">
        <f t="shared" ref="D90:H90" si="12">SUM(D87:D89)</f>
        <v>1077.7310924369749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217.70168067226894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115686.87139493227</v>
      </c>
      <c r="C4" s="477">
        <f>huishoudens!C8</f>
        <v>0</v>
      </c>
      <c r="D4" s="477">
        <f>huishoudens!D8</f>
        <v>338893.8522766956</v>
      </c>
      <c r="E4" s="477">
        <f>huishoudens!E8</f>
        <v>8484.5514072493315</v>
      </c>
      <c r="F4" s="477">
        <f>huishoudens!F8</f>
        <v>27270.7211481495</v>
      </c>
      <c r="G4" s="477">
        <f>huishoudens!G8</f>
        <v>0</v>
      </c>
      <c r="H4" s="477">
        <f>huishoudens!H8</f>
        <v>0</v>
      </c>
      <c r="I4" s="477">
        <f>huishoudens!I8</f>
        <v>0</v>
      </c>
      <c r="J4" s="477">
        <f>huishoudens!J8</f>
        <v>0</v>
      </c>
      <c r="K4" s="477">
        <f>huishoudens!K8</f>
        <v>0</v>
      </c>
      <c r="L4" s="477">
        <f>huishoudens!L8</f>
        <v>0</v>
      </c>
      <c r="M4" s="477">
        <f>huishoudens!M8</f>
        <v>0</v>
      </c>
      <c r="N4" s="477">
        <f>huishoudens!N8</f>
        <v>41011.936664943045</v>
      </c>
      <c r="O4" s="477">
        <f>huishoudens!O8</f>
        <v>1048.9966666666669</v>
      </c>
      <c r="P4" s="478">
        <f>huishoudens!P8</f>
        <v>2326.1333333333332</v>
      </c>
      <c r="Q4" s="479">
        <f>SUM(B4:P4)</f>
        <v>534723.06289196981</v>
      </c>
    </row>
    <row r="5" spans="1:17">
      <c r="A5" s="476" t="s">
        <v>156</v>
      </c>
      <c r="B5" s="477">
        <f ca="1">tertiair!B16</f>
        <v>183261.82281796477</v>
      </c>
      <c r="C5" s="477">
        <f ca="1">tertiair!C16</f>
        <v>916.07142857142856</v>
      </c>
      <c r="D5" s="477">
        <f ca="1">tertiair!D16</f>
        <v>219446.93511648857</v>
      </c>
      <c r="E5" s="477">
        <f>tertiair!E16</f>
        <v>2108.1251540347484</v>
      </c>
      <c r="F5" s="477">
        <f ca="1">tertiair!F16</f>
        <v>31292.569891435051</v>
      </c>
      <c r="G5" s="477">
        <f>tertiair!G16</f>
        <v>0</v>
      </c>
      <c r="H5" s="477">
        <f>tertiair!H16</f>
        <v>0</v>
      </c>
      <c r="I5" s="477">
        <f>tertiair!I16</f>
        <v>0</v>
      </c>
      <c r="J5" s="477">
        <f>tertiair!J16</f>
        <v>0.43205794614142456</v>
      </c>
      <c r="K5" s="477">
        <f>tertiair!K16</f>
        <v>0</v>
      </c>
      <c r="L5" s="477">
        <f ca="1">tertiair!L16</f>
        <v>0</v>
      </c>
      <c r="M5" s="477">
        <f>tertiair!M16</f>
        <v>0</v>
      </c>
      <c r="N5" s="477">
        <f ca="1">tertiair!N16</f>
        <v>17527.99299170712</v>
      </c>
      <c r="O5" s="477">
        <f>tertiair!O16</f>
        <v>23.45</v>
      </c>
      <c r="P5" s="478">
        <f>tertiair!P16</f>
        <v>247.86666666666667</v>
      </c>
      <c r="Q5" s="476">
        <f t="shared" ref="Q5:Q14" ca="1" si="0">SUM(B5:P5)</f>
        <v>454825.26612481452</v>
      </c>
    </row>
    <row r="6" spans="1:17">
      <c r="A6" s="476" t="s">
        <v>194</v>
      </c>
      <c r="B6" s="477">
        <f>'openbare verlichting'!B8</f>
        <v>6119.0190000000002</v>
      </c>
      <c r="C6" s="477"/>
      <c r="D6" s="477"/>
      <c r="E6" s="477"/>
      <c r="F6" s="477"/>
      <c r="G6" s="477"/>
      <c r="H6" s="477"/>
      <c r="I6" s="477"/>
      <c r="J6" s="477"/>
      <c r="K6" s="477"/>
      <c r="L6" s="477"/>
      <c r="M6" s="477"/>
      <c r="N6" s="477"/>
      <c r="O6" s="477"/>
      <c r="P6" s="478"/>
      <c r="Q6" s="476">
        <f t="shared" si="0"/>
        <v>6119.0190000000002</v>
      </c>
    </row>
    <row r="7" spans="1:17">
      <c r="A7" s="476" t="s">
        <v>112</v>
      </c>
      <c r="B7" s="477">
        <f>landbouw!B8</f>
        <v>2859.40568293357</v>
      </c>
      <c r="C7" s="477">
        <f>landbouw!C8</f>
        <v>0</v>
      </c>
      <c r="D7" s="477">
        <f>landbouw!D8</f>
        <v>783.69862615702084</v>
      </c>
      <c r="E7" s="477">
        <f>landbouw!E8</f>
        <v>84.04666665442231</v>
      </c>
      <c r="F7" s="477">
        <f>landbouw!F8</f>
        <v>11912.129560928235</v>
      </c>
      <c r="G7" s="477">
        <f>landbouw!G8</f>
        <v>0</v>
      </c>
      <c r="H7" s="477">
        <f>landbouw!H8</f>
        <v>0</v>
      </c>
      <c r="I7" s="477">
        <f>landbouw!I8</f>
        <v>0</v>
      </c>
      <c r="J7" s="477">
        <f>landbouw!J8</f>
        <v>414.26647701712068</v>
      </c>
      <c r="K7" s="477">
        <f>landbouw!K8</f>
        <v>0</v>
      </c>
      <c r="L7" s="477">
        <f>landbouw!L8</f>
        <v>0</v>
      </c>
      <c r="M7" s="477">
        <f>landbouw!M8</f>
        <v>0</v>
      </c>
      <c r="N7" s="477">
        <f>landbouw!N8</f>
        <v>0</v>
      </c>
      <c r="O7" s="477">
        <f>landbouw!O8</f>
        <v>0</v>
      </c>
      <c r="P7" s="478">
        <f>landbouw!P8</f>
        <v>0</v>
      </c>
      <c r="Q7" s="476">
        <f t="shared" si="0"/>
        <v>16053.54701369037</v>
      </c>
    </row>
    <row r="8" spans="1:17">
      <c r="A8" s="476" t="s">
        <v>635</v>
      </c>
      <c r="B8" s="477">
        <f>industrie!B18</f>
        <v>94393.061603080976</v>
      </c>
      <c r="C8" s="477">
        <f>industrie!C18</f>
        <v>0</v>
      </c>
      <c r="D8" s="477">
        <f>industrie!D18</f>
        <v>168469.35246352345</v>
      </c>
      <c r="E8" s="477">
        <f>industrie!E18</f>
        <v>5618.310399988166</v>
      </c>
      <c r="F8" s="477">
        <f>industrie!F18</f>
        <v>19564.600940515287</v>
      </c>
      <c r="G8" s="477">
        <f>industrie!G18</f>
        <v>0</v>
      </c>
      <c r="H8" s="477">
        <f>industrie!H18</f>
        <v>0</v>
      </c>
      <c r="I8" s="477">
        <f>industrie!I18</f>
        <v>0</v>
      </c>
      <c r="J8" s="477">
        <f>industrie!J18</f>
        <v>149.91782313654929</v>
      </c>
      <c r="K8" s="477">
        <f>industrie!K18</f>
        <v>0</v>
      </c>
      <c r="L8" s="477">
        <f>industrie!L18</f>
        <v>0</v>
      </c>
      <c r="M8" s="477">
        <f>industrie!M18</f>
        <v>0</v>
      </c>
      <c r="N8" s="477">
        <f>industrie!N18</f>
        <v>54077.215041579722</v>
      </c>
      <c r="O8" s="477">
        <f>industrie!O18</f>
        <v>0</v>
      </c>
      <c r="P8" s="478">
        <f>industrie!P18</f>
        <v>0</v>
      </c>
      <c r="Q8" s="476">
        <f t="shared" si="0"/>
        <v>342272.45827182417</v>
      </c>
    </row>
    <row r="9" spans="1:17" s="482" customFormat="1">
      <c r="A9" s="480" t="s">
        <v>561</v>
      </c>
      <c r="B9" s="481">
        <f>transport!B14</f>
        <v>226.25972750856718</v>
      </c>
      <c r="C9" s="481">
        <f>transport!C14</f>
        <v>0</v>
      </c>
      <c r="D9" s="481">
        <f>transport!D14</f>
        <v>771.99892515596218</v>
      </c>
      <c r="E9" s="481">
        <f>transport!E14</f>
        <v>1145.8825822376766</v>
      </c>
      <c r="F9" s="481">
        <f>transport!F14</f>
        <v>0</v>
      </c>
      <c r="G9" s="481">
        <f>transport!G14</f>
        <v>547273.21275136957</v>
      </c>
      <c r="H9" s="481">
        <f>transport!H14</f>
        <v>88861.684961253108</v>
      </c>
      <c r="I9" s="481">
        <f>transport!I14</f>
        <v>0</v>
      </c>
      <c r="J9" s="481">
        <f>transport!J14</f>
        <v>0</v>
      </c>
      <c r="K9" s="481">
        <f>transport!K14</f>
        <v>0</v>
      </c>
      <c r="L9" s="481">
        <f>transport!L14</f>
        <v>0</v>
      </c>
      <c r="M9" s="481">
        <f>transport!M14</f>
        <v>34596.42116044963</v>
      </c>
      <c r="N9" s="481">
        <f>transport!N14</f>
        <v>0</v>
      </c>
      <c r="O9" s="481">
        <f>transport!O14</f>
        <v>0</v>
      </c>
      <c r="P9" s="481">
        <f>transport!P14</f>
        <v>0</v>
      </c>
      <c r="Q9" s="480">
        <f>SUM(B9:P9)</f>
        <v>672875.46010797448</v>
      </c>
    </row>
    <row r="10" spans="1:17">
      <c r="A10" s="476" t="s">
        <v>551</v>
      </c>
      <c r="B10" s="477">
        <f>transport!B54</f>
        <v>0</v>
      </c>
      <c r="C10" s="477">
        <f>transport!C54</f>
        <v>0</v>
      </c>
      <c r="D10" s="477">
        <f>transport!D54</f>
        <v>0</v>
      </c>
      <c r="E10" s="477">
        <f>transport!E54</f>
        <v>0</v>
      </c>
      <c r="F10" s="477">
        <f>transport!F54</f>
        <v>0</v>
      </c>
      <c r="G10" s="477">
        <f>transport!G54</f>
        <v>10229.375512415983</v>
      </c>
      <c r="H10" s="477">
        <f>transport!H54</f>
        <v>0</v>
      </c>
      <c r="I10" s="477">
        <f>transport!I54</f>
        <v>0</v>
      </c>
      <c r="J10" s="477">
        <f>transport!J54</f>
        <v>0</v>
      </c>
      <c r="K10" s="477">
        <f>transport!K54</f>
        <v>0</v>
      </c>
      <c r="L10" s="477">
        <f>transport!L54</f>
        <v>0</v>
      </c>
      <c r="M10" s="477">
        <f>transport!M54</f>
        <v>580.98337074566189</v>
      </c>
      <c r="N10" s="477">
        <f>transport!N54</f>
        <v>0</v>
      </c>
      <c r="O10" s="477">
        <f>transport!O54</f>
        <v>0</v>
      </c>
      <c r="P10" s="478">
        <f>transport!P54</f>
        <v>0</v>
      </c>
      <c r="Q10" s="476">
        <f t="shared" si="0"/>
        <v>10810.358883161645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5683.08162217887</v>
      </c>
      <c r="C14" s="484"/>
      <c r="D14" s="484">
        <f>'SEAP template'!E25</f>
        <v>27558.380853711798</v>
      </c>
      <c r="E14" s="484"/>
      <c r="F14" s="484"/>
      <c r="G14" s="484"/>
      <c r="H14" s="484"/>
      <c r="I14" s="484"/>
      <c r="J14" s="484"/>
      <c r="K14" s="484"/>
      <c r="L14" s="484"/>
      <c r="M14" s="484"/>
      <c r="N14" s="484"/>
      <c r="O14" s="484"/>
      <c r="P14" s="485"/>
      <c r="Q14" s="476">
        <f t="shared" si="0"/>
        <v>33241.462475890672</v>
      </c>
    </row>
    <row r="15" spans="1:17" s="486" customFormat="1">
      <c r="A15" s="1039" t="s">
        <v>555</v>
      </c>
      <c r="B15" s="987">
        <f ca="1">SUM(B4:B14)</f>
        <v>408229.52184859908</v>
      </c>
      <c r="C15" s="987">
        <f t="shared" ref="C15:Q15" ca="1" si="1">SUM(C4:C14)</f>
        <v>916.07142857142856</v>
      </c>
      <c r="D15" s="987">
        <f t="shared" ca="1" si="1"/>
        <v>755924.21826173237</v>
      </c>
      <c r="E15" s="987">
        <f t="shared" si="1"/>
        <v>17440.916210164345</v>
      </c>
      <c r="F15" s="987">
        <f t="shared" ca="1" si="1"/>
        <v>90040.02154102808</v>
      </c>
      <c r="G15" s="987">
        <f t="shared" si="1"/>
        <v>557502.58826378558</v>
      </c>
      <c r="H15" s="987">
        <f t="shared" si="1"/>
        <v>88861.684961253108</v>
      </c>
      <c r="I15" s="987">
        <f t="shared" si="1"/>
        <v>0</v>
      </c>
      <c r="J15" s="987">
        <f t="shared" si="1"/>
        <v>564.61635809981135</v>
      </c>
      <c r="K15" s="987">
        <f t="shared" si="1"/>
        <v>0</v>
      </c>
      <c r="L15" s="987">
        <f t="shared" ca="1" si="1"/>
        <v>0</v>
      </c>
      <c r="M15" s="987">
        <f t="shared" si="1"/>
        <v>35177.404531195294</v>
      </c>
      <c r="N15" s="987">
        <f t="shared" ca="1" si="1"/>
        <v>112617.14469822988</v>
      </c>
      <c r="O15" s="987">
        <f t="shared" si="1"/>
        <v>1072.4466666666669</v>
      </c>
      <c r="P15" s="987">
        <f t="shared" si="1"/>
        <v>2574</v>
      </c>
      <c r="Q15" s="987">
        <f t="shared" ca="1" si="1"/>
        <v>2070920.6347693256</v>
      </c>
    </row>
    <row r="17" spans="1:17">
      <c r="A17" s="487" t="s">
        <v>556</v>
      </c>
      <c r="B17" s="786">
        <f ca="1">huishoudens!B10</f>
        <v>0.20375328200320592</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23571.579731400252</v>
      </c>
      <c r="C22" s="477">
        <f t="shared" ref="C22:C32" ca="1" si="3">C4*$C$17</f>
        <v>0</v>
      </c>
      <c r="D22" s="477">
        <f t="shared" ref="D22:D32" si="4">D4*$D$17</f>
        <v>68456.55815989252</v>
      </c>
      <c r="E22" s="477">
        <f t="shared" ref="E22:E32" si="5">E4*$E$17</f>
        <v>1925.9931694455984</v>
      </c>
      <c r="F22" s="477">
        <f t="shared" ref="F22:F32" si="6">F4*$F$17</f>
        <v>7281.2825465559172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101235.41360729429</v>
      </c>
    </row>
    <row r="23" spans="1:17">
      <c r="A23" s="476" t="s">
        <v>156</v>
      </c>
      <c r="B23" s="477">
        <f t="shared" ca="1" si="2"/>
        <v>37340.19786505033</v>
      </c>
      <c r="C23" s="477">
        <f t="shared" ca="1" si="3"/>
        <v>217.70168067226894</v>
      </c>
      <c r="D23" s="477">
        <f t="shared" ca="1" si="4"/>
        <v>44328.280893530697</v>
      </c>
      <c r="E23" s="477">
        <f t="shared" si="5"/>
        <v>478.54440996588789</v>
      </c>
      <c r="F23" s="477">
        <f t="shared" ca="1" si="6"/>
        <v>8355.1161610131585</v>
      </c>
      <c r="G23" s="477">
        <f t="shared" si="7"/>
        <v>0</v>
      </c>
      <c r="H23" s="477">
        <f t="shared" si="8"/>
        <v>0</v>
      </c>
      <c r="I23" s="477">
        <f t="shared" si="9"/>
        <v>0</v>
      </c>
      <c r="J23" s="477">
        <f t="shared" si="10"/>
        <v>0.15294851293406428</v>
      </c>
      <c r="K23" s="477">
        <f t="shared" si="11"/>
        <v>0</v>
      </c>
      <c r="L23" s="477">
        <f t="shared" ca="1" si="12"/>
        <v>0</v>
      </c>
      <c r="M23" s="477">
        <f t="shared" si="13"/>
        <v>0</v>
      </c>
      <c r="N23" s="477">
        <f t="shared" ca="1" si="14"/>
        <v>0</v>
      </c>
      <c r="O23" s="477">
        <f t="shared" si="15"/>
        <v>0</v>
      </c>
      <c r="P23" s="478">
        <f t="shared" si="16"/>
        <v>0</v>
      </c>
      <c r="Q23" s="476">
        <f t="shared" ref="Q23:Q32" ca="1" si="17">SUM(B23:P23)</f>
        <v>90719.993958745268</v>
      </c>
    </row>
    <row r="24" spans="1:17">
      <c r="A24" s="476" t="s">
        <v>194</v>
      </c>
      <c r="B24" s="477">
        <f t="shared" ca="1" si="2"/>
        <v>1246.7702038899752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1246.7702038899752</v>
      </c>
    </row>
    <row r="25" spans="1:17">
      <c r="A25" s="476" t="s">
        <v>112</v>
      </c>
      <c r="B25" s="477">
        <f t="shared" ca="1" si="2"/>
        <v>582.6132924763333</v>
      </c>
      <c r="C25" s="477">
        <f t="shared" ca="1" si="3"/>
        <v>0</v>
      </c>
      <c r="D25" s="477">
        <f t="shared" si="4"/>
        <v>158.30712248371822</v>
      </c>
      <c r="E25" s="477">
        <f t="shared" si="5"/>
        <v>19.078593330553865</v>
      </c>
      <c r="F25" s="477">
        <f t="shared" si="6"/>
        <v>3180.538592767839</v>
      </c>
      <c r="G25" s="477">
        <f t="shared" si="7"/>
        <v>0</v>
      </c>
      <c r="H25" s="477">
        <f t="shared" si="8"/>
        <v>0</v>
      </c>
      <c r="I25" s="477">
        <f t="shared" si="9"/>
        <v>0</v>
      </c>
      <c r="J25" s="477">
        <f t="shared" si="10"/>
        <v>146.65033286406072</v>
      </c>
      <c r="K25" s="477">
        <f t="shared" si="11"/>
        <v>0</v>
      </c>
      <c r="L25" s="477">
        <f t="shared" si="12"/>
        <v>0</v>
      </c>
      <c r="M25" s="477">
        <f t="shared" si="13"/>
        <v>0</v>
      </c>
      <c r="N25" s="477">
        <f t="shared" si="14"/>
        <v>0</v>
      </c>
      <c r="O25" s="477">
        <f t="shared" si="15"/>
        <v>0</v>
      </c>
      <c r="P25" s="478">
        <f t="shared" si="16"/>
        <v>0</v>
      </c>
      <c r="Q25" s="476">
        <f t="shared" ca="1" si="17"/>
        <v>4087.1879339225047</v>
      </c>
    </row>
    <row r="26" spans="1:17">
      <c r="A26" s="476" t="s">
        <v>635</v>
      </c>
      <c r="B26" s="477">
        <f t="shared" ca="1" si="2"/>
        <v>19232.896099958547</v>
      </c>
      <c r="C26" s="477">
        <f t="shared" ca="1" si="3"/>
        <v>0</v>
      </c>
      <c r="D26" s="477">
        <f t="shared" si="4"/>
        <v>34030.809197631737</v>
      </c>
      <c r="E26" s="477">
        <f t="shared" si="5"/>
        <v>1275.3564607973137</v>
      </c>
      <c r="F26" s="477">
        <f t="shared" si="6"/>
        <v>5223.7484511175817</v>
      </c>
      <c r="G26" s="477">
        <f t="shared" si="7"/>
        <v>0</v>
      </c>
      <c r="H26" s="477">
        <f t="shared" si="8"/>
        <v>0</v>
      </c>
      <c r="I26" s="477">
        <f t="shared" si="9"/>
        <v>0</v>
      </c>
      <c r="J26" s="477">
        <f t="shared" si="10"/>
        <v>53.070909390338443</v>
      </c>
      <c r="K26" s="477">
        <f t="shared" si="11"/>
        <v>0</v>
      </c>
      <c r="L26" s="477">
        <f t="shared" si="12"/>
        <v>0</v>
      </c>
      <c r="M26" s="477">
        <f t="shared" si="13"/>
        <v>0</v>
      </c>
      <c r="N26" s="477">
        <f t="shared" si="14"/>
        <v>0</v>
      </c>
      <c r="O26" s="477">
        <f t="shared" si="15"/>
        <v>0</v>
      </c>
      <c r="P26" s="478">
        <f t="shared" si="16"/>
        <v>0</v>
      </c>
      <c r="Q26" s="476">
        <f t="shared" ca="1" si="17"/>
        <v>59815.881118895515</v>
      </c>
    </row>
    <row r="27" spans="1:17" s="482" customFormat="1">
      <c r="A27" s="480" t="s">
        <v>561</v>
      </c>
      <c r="B27" s="780">
        <f t="shared" ca="1" si="2"/>
        <v>46.101162065021619</v>
      </c>
      <c r="C27" s="481">
        <f t="shared" ca="1" si="3"/>
        <v>0</v>
      </c>
      <c r="D27" s="481">
        <f t="shared" si="4"/>
        <v>155.94378288150438</v>
      </c>
      <c r="E27" s="481">
        <f t="shared" si="5"/>
        <v>260.11534616795262</v>
      </c>
      <c r="F27" s="481">
        <f t="shared" si="6"/>
        <v>0</v>
      </c>
      <c r="G27" s="481">
        <f t="shared" si="7"/>
        <v>146121.94780461569</v>
      </c>
      <c r="H27" s="481">
        <f t="shared" si="8"/>
        <v>22126.559555352025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168710.66765108219</v>
      </c>
    </row>
    <row r="28" spans="1:17">
      <c r="A28" s="476" t="s">
        <v>551</v>
      </c>
      <c r="B28" s="477">
        <f t="shared" ca="1" si="2"/>
        <v>0</v>
      </c>
      <c r="C28" s="477">
        <f t="shared" ca="1" si="3"/>
        <v>0</v>
      </c>
      <c r="D28" s="477">
        <f t="shared" si="4"/>
        <v>0</v>
      </c>
      <c r="E28" s="477">
        <f t="shared" si="5"/>
        <v>0</v>
      </c>
      <c r="F28" s="477">
        <f t="shared" si="6"/>
        <v>0</v>
      </c>
      <c r="G28" s="477">
        <f t="shared" si="7"/>
        <v>2731.2432618150679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2731.2432618150679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1157.9465324110483</v>
      </c>
      <c r="C32" s="477">
        <f t="shared" ca="1" si="3"/>
        <v>0</v>
      </c>
      <c r="D32" s="477">
        <f t="shared" si="4"/>
        <v>5566.7929324497836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6724.7394648608315</v>
      </c>
    </row>
    <row r="33" spans="1:17" s="486" customFormat="1">
      <c r="A33" s="1039" t="s">
        <v>555</v>
      </c>
      <c r="B33" s="987">
        <f ca="1">SUM(B22:B32)</f>
        <v>83178.104887251524</v>
      </c>
      <c r="C33" s="987">
        <f t="shared" ref="C33:Q33" ca="1" si="18">SUM(C22:C32)</f>
        <v>217.70168067226894</v>
      </c>
      <c r="D33" s="987">
        <f t="shared" ca="1" si="18"/>
        <v>152696.69208886995</v>
      </c>
      <c r="E33" s="987">
        <f t="shared" si="18"/>
        <v>3959.0879797073062</v>
      </c>
      <c r="F33" s="987">
        <f t="shared" ca="1" si="18"/>
        <v>24040.685751454497</v>
      </c>
      <c r="G33" s="987">
        <f t="shared" si="18"/>
        <v>148853.19106643077</v>
      </c>
      <c r="H33" s="987">
        <f t="shared" si="18"/>
        <v>22126.559555352025</v>
      </c>
      <c r="I33" s="987">
        <f t="shared" si="18"/>
        <v>0</v>
      </c>
      <c r="J33" s="987">
        <f t="shared" si="18"/>
        <v>199.87419076733323</v>
      </c>
      <c r="K33" s="987">
        <f t="shared" si="18"/>
        <v>0</v>
      </c>
      <c r="L33" s="987">
        <f t="shared" ca="1" si="18"/>
        <v>0</v>
      </c>
      <c r="M33" s="987">
        <f t="shared" si="18"/>
        <v>0</v>
      </c>
      <c r="N33" s="987">
        <f t="shared" ca="1" si="18"/>
        <v>0</v>
      </c>
      <c r="O33" s="987">
        <f t="shared" si="18"/>
        <v>0</v>
      </c>
      <c r="P33" s="987">
        <f t="shared" si="18"/>
        <v>0</v>
      </c>
      <c r="Q33" s="987">
        <f t="shared" ca="1" si="18"/>
        <v>435271.89720050566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10334.688751527792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21571.620604849864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641.25</v>
      </c>
      <c r="D8" s="1056">
        <f>'SEAP template'!D76</f>
        <v>754.41176470588255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152.39117647058828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31906.309356377657</v>
      </c>
      <c r="C10" s="1060">
        <f>SUM(C4:C9)</f>
        <v>641.25</v>
      </c>
      <c r="D10" s="1060">
        <f t="shared" ref="D10:H10" si="0">SUM(D8:D9)</f>
        <v>754.41176470588255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152.39117647058828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0.20375328200320592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916.07142857142856</v>
      </c>
      <c r="D17" s="1057">
        <f>'SEAP template'!D87</f>
        <v>1077.7310924369749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217.70168067226894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916.07142857142856</v>
      </c>
      <c r="D20" s="1060">
        <f t="shared" ref="D20:H20" si="2">SUM(D17:D19)</f>
        <v>1077.7310924369749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217.70168067226894</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0.20375328200320592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0.20375328200320592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0.20375328200320592</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32777</v>
      </c>
      <c r="C9" s="342">
        <v>33727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3609.27</v>
      </c>
    </row>
    <row r="15" spans="1:6">
      <c r="A15" s="348" t="s">
        <v>184</v>
      </c>
      <c r="B15" s="334">
        <v>29</v>
      </c>
    </row>
    <row r="16" spans="1:6">
      <c r="A16" s="348" t="s">
        <v>6</v>
      </c>
      <c r="B16" s="334">
        <v>1041</v>
      </c>
    </row>
    <row r="17" spans="1:6">
      <c r="A17" s="348" t="s">
        <v>7</v>
      </c>
      <c r="B17" s="334">
        <v>961</v>
      </c>
    </row>
    <row r="18" spans="1:6">
      <c r="A18" s="348" t="s">
        <v>8</v>
      </c>
      <c r="B18" s="334">
        <v>1262</v>
      </c>
    </row>
    <row r="19" spans="1:6">
      <c r="A19" s="348" t="s">
        <v>9</v>
      </c>
      <c r="B19" s="334">
        <v>1254</v>
      </c>
    </row>
    <row r="20" spans="1:6">
      <c r="A20" s="348" t="s">
        <v>10</v>
      </c>
      <c r="B20" s="334">
        <v>1049</v>
      </c>
    </row>
    <row r="21" spans="1:6">
      <c r="A21" s="348" t="s">
        <v>11</v>
      </c>
      <c r="B21" s="334">
        <v>1876</v>
      </c>
    </row>
    <row r="22" spans="1:6">
      <c r="A22" s="348" t="s">
        <v>12</v>
      </c>
      <c r="B22" s="334">
        <v>8687</v>
      </c>
    </row>
    <row r="23" spans="1:6">
      <c r="A23" s="348" t="s">
        <v>13</v>
      </c>
      <c r="B23" s="334">
        <v>105</v>
      </c>
    </row>
    <row r="24" spans="1:6">
      <c r="A24" s="348" t="s">
        <v>14</v>
      </c>
      <c r="B24" s="334">
        <v>4</v>
      </c>
    </row>
    <row r="25" spans="1:6">
      <c r="A25" s="348" t="s">
        <v>15</v>
      </c>
      <c r="B25" s="334">
        <v>541</v>
      </c>
    </row>
    <row r="26" spans="1:6">
      <c r="A26" s="348" t="s">
        <v>16</v>
      </c>
      <c r="B26" s="334">
        <v>119</v>
      </c>
    </row>
    <row r="27" spans="1:6">
      <c r="A27" s="348" t="s">
        <v>17</v>
      </c>
      <c r="B27" s="334">
        <v>1</v>
      </c>
    </row>
    <row r="28" spans="1:6" s="356" customFormat="1">
      <c r="A28" s="355" t="s">
        <v>18</v>
      </c>
      <c r="B28" s="355">
        <v>182360</v>
      </c>
    </row>
    <row r="29" spans="1:6">
      <c r="A29" s="355" t="s">
        <v>744</v>
      </c>
      <c r="B29" s="355">
        <v>201</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565607.11370741797</v>
      </c>
      <c r="E36" s="334">
        <v>20</v>
      </c>
      <c r="F36" s="334">
        <v>1592705.3237596201</v>
      </c>
    </row>
    <row r="37" spans="1:6">
      <c r="A37" s="348" t="s">
        <v>25</v>
      </c>
      <c r="B37" s="348" t="s">
        <v>28</v>
      </c>
      <c r="C37" s="334">
        <v>0</v>
      </c>
      <c r="D37" s="334">
        <v>0</v>
      </c>
      <c r="E37" s="334">
        <v>0</v>
      </c>
      <c r="F37" s="334">
        <v>0</v>
      </c>
    </row>
    <row r="38" spans="1:6">
      <c r="A38" s="348" t="s">
        <v>25</v>
      </c>
      <c r="B38" s="348" t="s">
        <v>29</v>
      </c>
      <c r="C38" s="334">
        <v>6</v>
      </c>
      <c r="D38" s="334">
        <v>1016738.67153235</v>
      </c>
      <c r="E38" s="334">
        <v>4</v>
      </c>
      <c r="F38" s="334">
        <v>73853.615362038501</v>
      </c>
    </row>
    <row r="39" spans="1:6">
      <c r="A39" s="348" t="s">
        <v>30</v>
      </c>
      <c r="B39" s="348" t="s">
        <v>31</v>
      </c>
      <c r="C39" s="334">
        <v>25366</v>
      </c>
      <c r="D39" s="334">
        <v>375645611.09478599</v>
      </c>
      <c r="E39" s="334">
        <v>31752</v>
      </c>
      <c r="F39" s="334">
        <v>104688704.04266293</v>
      </c>
    </row>
    <row r="40" spans="1:6">
      <c r="A40" s="348" t="s">
        <v>30</v>
      </c>
      <c r="B40" s="348" t="s">
        <v>29</v>
      </c>
      <c r="C40" s="334">
        <v>2</v>
      </c>
      <c r="D40" s="334">
        <v>68194.0900206722</v>
      </c>
      <c r="E40" s="334">
        <v>0</v>
      </c>
      <c r="F40" s="334">
        <v>0</v>
      </c>
    </row>
    <row r="41" spans="1:6">
      <c r="A41" s="348" t="s">
        <v>32</v>
      </c>
      <c r="B41" s="348" t="s">
        <v>33</v>
      </c>
      <c r="C41" s="334">
        <v>437</v>
      </c>
      <c r="D41" s="334">
        <v>9943243.26764304</v>
      </c>
      <c r="E41" s="334">
        <v>837</v>
      </c>
      <c r="F41" s="334">
        <v>10760190.5050455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15089687.199198401</v>
      </c>
      <c r="E44" s="334">
        <v>78</v>
      </c>
      <c r="F44" s="334">
        <v>15689222.8914536</v>
      </c>
    </row>
    <row r="45" spans="1:6">
      <c r="A45" s="348" t="s">
        <v>32</v>
      </c>
      <c r="B45" s="348" t="s">
        <v>37</v>
      </c>
      <c r="C45" s="334">
        <v>8</v>
      </c>
      <c r="D45" s="334">
        <v>186241.40623972501</v>
      </c>
      <c r="E45" s="334">
        <v>10</v>
      </c>
      <c r="F45" s="334">
        <v>28409.379032128301</v>
      </c>
    </row>
    <row r="46" spans="1:6">
      <c r="A46" s="348" t="s">
        <v>32</v>
      </c>
      <c r="B46" s="348" t="s">
        <v>38</v>
      </c>
      <c r="C46" s="334">
        <v>0</v>
      </c>
      <c r="D46" s="334">
        <v>0</v>
      </c>
      <c r="E46" s="334">
        <v>0</v>
      </c>
      <c r="F46" s="334">
        <v>0</v>
      </c>
    </row>
    <row r="47" spans="1:6">
      <c r="A47" s="348" t="s">
        <v>32</v>
      </c>
      <c r="B47" s="348" t="s">
        <v>39</v>
      </c>
      <c r="C47" s="334">
        <v>34</v>
      </c>
      <c r="D47" s="334">
        <v>13729268.301604301</v>
      </c>
      <c r="E47" s="334">
        <v>45</v>
      </c>
      <c r="F47" s="334">
        <v>13826800.0210332</v>
      </c>
    </row>
    <row r="48" spans="1:6">
      <c r="A48" s="348" t="s">
        <v>32</v>
      </c>
      <c r="B48" s="348" t="s">
        <v>29</v>
      </c>
      <c r="C48" s="334">
        <v>121</v>
      </c>
      <c r="D48" s="334">
        <v>129667533.52622201</v>
      </c>
      <c r="E48" s="334">
        <v>159</v>
      </c>
      <c r="F48" s="334">
        <v>41266334.702195197</v>
      </c>
    </row>
    <row r="49" spans="1:6">
      <c r="A49" s="348" t="s">
        <v>32</v>
      </c>
      <c r="B49" s="348" t="s">
        <v>40</v>
      </c>
      <c r="C49" s="334">
        <v>23</v>
      </c>
      <c r="D49" s="334">
        <v>673425.38537022797</v>
      </c>
      <c r="E49" s="334">
        <v>35</v>
      </c>
      <c r="F49" s="334">
        <v>2954800.3816007702</v>
      </c>
    </row>
    <row r="50" spans="1:6">
      <c r="A50" s="348" t="s">
        <v>32</v>
      </c>
      <c r="B50" s="348" t="s">
        <v>41</v>
      </c>
      <c r="C50" s="334">
        <v>66</v>
      </c>
      <c r="D50" s="334">
        <v>17483718.9442361</v>
      </c>
      <c r="E50" s="334">
        <v>95</v>
      </c>
      <c r="F50" s="334">
        <v>9867303.7227205709</v>
      </c>
    </row>
    <row r="51" spans="1:6">
      <c r="A51" s="348" t="s">
        <v>42</v>
      </c>
      <c r="B51" s="348" t="s">
        <v>43</v>
      </c>
      <c r="C51" s="334">
        <v>12</v>
      </c>
      <c r="D51" s="334">
        <v>276660.52137986902</v>
      </c>
      <c r="E51" s="334">
        <v>130</v>
      </c>
      <c r="F51" s="334">
        <v>1771077.6588971401</v>
      </c>
    </row>
    <row r="52" spans="1:6">
      <c r="A52" s="348" t="s">
        <v>42</v>
      </c>
      <c r="B52" s="348" t="s">
        <v>29</v>
      </c>
      <c r="C52" s="334">
        <v>16</v>
      </c>
      <c r="D52" s="334">
        <v>592184.96216450003</v>
      </c>
      <c r="E52" s="334">
        <v>21</v>
      </c>
      <c r="F52" s="334">
        <v>1088328.0240364301</v>
      </c>
    </row>
    <row r="53" spans="1:6">
      <c r="A53" s="348" t="s">
        <v>44</v>
      </c>
      <c r="B53" s="348" t="s">
        <v>45</v>
      </c>
      <c r="C53" s="334">
        <v>955</v>
      </c>
      <c r="D53" s="334">
        <v>27558380.853711799</v>
      </c>
      <c r="E53" s="334">
        <v>1545</v>
      </c>
      <c r="F53" s="334">
        <v>5683081.6221788703</v>
      </c>
    </row>
    <row r="54" spans="1:6">
      <c r="A54" s="348" t="s">
        <v>46</v>
      </c>
      <c r="B54" s="348" t="s">
        <v>47</v>
      </c>
      <c r="C54" s="334">
        <v>0</v>
      </c>
      <c r="D54" s="334">
        <v>0</v>
      </c>
      <c r="E54" s="334">
        <v>3</v>
      </c>
      <c r="F54" s="334">
        <v>6119019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332</v>
      </c>
      <c r="D57" s="334">
        <v>30906401.856242701</v>
      </c>
      <c r="E57" s="334">
        <v>512</v>
      </c>
      <c r="F57" s="334">
        <v>18107970.756458201</v>
      </c>
    </row>
    <row r="58" spans="1:6">
      <c r="A58" s="348" t="s">
        <v>49</v>
      </c>
      <c r="B58" s="348" t="s">
        <v>51</v>
      </c>
      <c r="C58" s="334">
        <v>369</v>
      </c>
      <c r="D58" s="334">
        <v>49992676.350391097</v>
      </c>
      <c r="E58" s="334">
        <v>476</v>
      </c>
      <c r="F58" s="334">
        <v>29672783.154730801</v>
      </c>
    </row>
    <row r="59" spans="1:6">
      <c r="A59" s="348" t="s">
        <v>49</v>
      </c>
      <c r="B59" s="348" t="s">
        <v>52</v>
      </c>
      <c r="C59" s="334">
        <v>732</v>
      </c>
      <c r="D59" s="334">
        <v>30015830.034693699</v>
      </c>
      <c r="E59" s="334">
        <v>1378</v>
      </c>
      <c r="F59" s="334">
        <v>41859629.807123601</v>
      </c>
    </row>
    <row r="60" spans="1:6">
      <c r="A60" s="348" t="s">
        <v>49</v>
      </c>
      <c r="B60" s="348" t="s">
        <v>53</v>
      </c>
      <c r="C60" s="334">
        <v>429</v>
      </c>
      <c r="D60" s="334">
        <v>28977920.341733001</v>
      </c>
      <c r="E60" s="334">
        <v>513</v>
      </c>
      <c r="F60" s="334">
        <v>18140540.5622572</v>
      </c>
    </row>
    <row r="61" spans="1:6">
      <c r="A61" s="348" t="s">
        <v>49</v>
      </c>
      <c r="B61" s="348" t="s">
        <v>54</v>
      </c>
      <c r="C61" s="334">
        <v>1473</v>
      </c>
      <c r="D61" s="334">
        <v>69878901.313821003</v>
      </c>
      <c r="E61" s="334">
        <v>2926</v>
      </c>
      <c r="F61" s="334">
        <v>51685422.646213897</v>
      </c>
    </row>
    <row r="62" spans="1:6">
      <c r="A62" s="348" t="s">
        <v>49</v>
      </c>
      <c r="B62" s="348" t="s">
        <v>55</v>
      </c>
      <c r="C62" s="334">
        <v>100</v>
      </c>
      <c r="D62" s="334">
        <v>19158892.614453901</v>
      </c>
      <c r="E62" s="334">
        <v>126</v>
      </c>
      <c r="F62" s="334">
        <v>7046657.9352780404</v>
      </c>
    </row>
    <row r="63" spans="1:6">
      <c r="A63" s="348" t="s">
        <v>49</v>
      </c>
      <c r="B63" s="348" t="s">
        <v>29</v>
      </c>
      <c r="C63" s="334">
        <v>323</v>
      </c>
      <c r="D63" s="334">
        <v>16389863.0470143</v>
      </c>
      <c r="E63" s="334">
        <v>336</v>
      </c>
      <c r="F63" s="334">
        <v>16107567.955903001</v>
      </c>
    </row>
    <row r="64" spans="1:6">
      <c r="A64" s="348" t="s">
        <v>56</v>
      </c>
      <c r="B64" s="348" t="s">
        <v>57</v>
      </c>
      <c r="C64" s="334">
        <v>0</v>
      </c>
      <c r="D64" s="334">
        <v>0</v>
      </c>
      <c r="E64" s="334">
        <v>0</v>
      </c>
      <c r="F64" s="334">
        <v>0</v>
      </c>
    </row>
    <row r="65" spans="1:6">
      <c r="A65" s="348" t="s">
        <v>56</v>
      </c>
      <c r="B65" s="348" t="s">
        <v>29</v>
      </c>
      <c r="C65" s="334">
        <v>12</v>
      </c>
      <c r="D65" s="334">
        <v>2129836.8811013699</v>
      </c>
      <c r="E65" s="334">
        <v>11</v>
      </c>
      <c r="F65" s="334">
        <v>433742.549443967</v>
      </c>
    </row>
    <row r="66" spans="1:6">
      <c r="A66" s="348" t="s">
        <v>56</v>
      </c>
      <c r="B66" s="348" t="s">
        <v>58</v>
      </c>
      <c r="C66" s="334">
        <v>4</v>
      </c>
      <c r="D66" s="334">
        <v>831250.47008836898</v>
      </c>
      <c r="E66" s="334">
        <v>60</v>
      </c>
      <c r="F66" s="334">
        <v>2599928.67039691</v>
      </c>
    </row>
    <row r="67" spans="1:6">
      <c r="A67" s="355" t="s">
        <v>56</v>
      </c>
      <c r="B67" s="355" t="s">
        <v>59</v>
      </c>
      <c r="C67" s="334">
        <v>0</v>
      </c>
      <c r="D67" s="334">
        <v>0</v>
      </c>
      <c r="E67" s="334">
        <v>0</v>
      </c>
      <c r="F67" s="334">
        <v>0</v>
      </c>
    </row>
    <row r="68" spans="1:6">
      <c r="A68" s="341" t="s">
        <v>56</v>
      </c>
      <c r="B68" s="341" t="s">
        <v>60</v>
      </c>
      <c r="C68" s="334">
        <v>13</v>
      </c>
      <c r="D68" s="334">
        <v>397056.253339955</v>
      </c>
      <c r="E68" s="334">
        <v>41</v>
      </c>
      <c r="F68" s="334">
        <v>938277.05664303596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224607138</v>
      </c>
      <c r="E73" s="475">
        <v>253109918.82630807</v>
      </c>
    </row>
    <row r="74" spans="1:6">
      <c r="A74" s="348" t="s">
        <v>64</v>
      </c>
      <c r="B74" s="348" t="s">
        <v>657</v>
      </c>
      <c r="C74" s="1295" t="s">
        <v>659</v>
      </c>
      <c r="D74" s="475">
        <v>28129742</v>
      </c>
      <c r="E74" s="475">
        <v>31682048.807795122</v>
      </c>
    </row>
    <row r="75" spans="1:6">
      <c r="A75" s="348" t="s">
        <v>65</v>
      </c>
      <c r="B75" s="348" t="s">
        <v>656</v>
      </c>
      <c r="C75" s="1295" t="s">
        <v>660</v>
      </c>
      <c r="D75" s="475">
        <v>86030525</v>
      </c>
      <c r="E75" s="475">
        <v>97813662.295590684</v>
      </c>
    </row>
    <row r="76" spans="1:6">
      <c r="A76" s="348" t="s">
        <v>65</v>
      </c>
      <c r="B76" s="348" t="s">
        <v>657</v>
      </c>
      <c r="C76" s="1295" t="s">
        <v>661</v>
      </c>
      <c r="D76" s="475">
        <v>2450643</v>
      </c>
      <c r="E76" s="475">
        <v>2935032.2358835414</v>
      </c>
    </row>
    <row r="77" spans="1:6">
      <c r="A77" s="348" t="s">
        <v>66</v>
      </c>
      <c r="B77" s="348" t="s">
        <v>656</v>
      </c>
      <c r="C77" s="1295" t="s">
        <v>662</v>
      </c>
      <c r="D77" s="475">
        <v>264496607</v>
      </c>
      <c r="E77" s="475">
        <v>283383836.19807971</v>
      </c>
    </row>
    <row r="78" spans="1:6">
      <c r="A78" s="341" t="s">
        <v>66</v>
      </c>
      <c r="B78" s="341" t="s">
        <v>657</v>
      </c>
      <c r="C78" s="341" t="s">
        <v>663</v>
      </c>
      <c r="D78" s="1296">
        <v>76113371</v>
      </c>
      <c r="E78" s="1296">
        <v>77161440.543255657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2931950</v>
      </c>
      <c r="C83" s="475">
        <v>2929496.4611526704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10334.688751527792</v>
      </c>
    </row>
    <row r="91" spans="1:6">
      <c r="A91" s="348" t="s">
        <v>68</v>
      </c>
      <c r="B91" s="334">
        <v>10998.167352269338</v>
      </c>
    </row>
    <row r="92" spans="1:6">
      <c r="A92" s="341" t="s">
        <v>69</v>
      </c>
      <c r="B92" s="342">
        <v>10573.453252580524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19024</v>
      </c>
    </row>
    <row r="98" spans="1:6">
      <c r="A98" s="348" t="s">
        <v>72</v>
      </c>
      <c r="B98" s="334">
        <v>7</v>
      </c>
    </row>
    <row r="99" spans="1:6">
      <c r="A99" s="348" t="s">
        <v>73</v>
      </c>
      <c r="B99" s="334">
        <v>196</v>
      </c>
    </row>
    <row r="100" spans="1:6">
      <c r="A100" s="348" t="s">
        <v>74</v>
      </c>
      <c r="B100" s="334">
        <v>2575</v>
      </c>
    </row>
    <row r="101" spans="1:6">
      <c r="A101" s="348" t="s">
        <v>75</v>
      </c>
      <c r="B101" s="334">
        <v>278</v>
      </c>
    </row>
    <row r="102" spans="1:6">
      <c r="A102" s="348" t="s">
        <v>76</v>
      </c>
      <c r="B102" s="334">
        <v>715</v>
      </c>
    </row>
    <row r="103" spans="1:6">
      <c r="A103" s="348" t="s">
        <v>77</v>
      </c>
      <c r="B103" s="334">
        <v>618</v>
      </c>
    </row>
    <row r="104" spans="1:6">
      <c r="A104" s="348" t="s">
        <v>78</v>
      </c>
      <c r="B104" s="334">
        <v>6763</v>
      </c>
    </row>
    <row r="105" spans="1:6">
      <c r="A105" s="341" t="s">
        <v>79</v>
      </c>
      <c r="B105" s="341">
        <v>22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90</v>
      </c>
      <c r="C123" s="334">
        <v>91</v>
      </c>
    </row>
    <row r="124" spans="1:6">
      <c r="A124" s="341" t="s">
        <v>89</v>
      </c>
      <c r="B124" s="334">
        <v>5</v>
      </c>
      <c r="C124" s="334">
        <v>5</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575</v>
      </c>
    </row>
    <row r="130" spans="1:6">
      <c r="A130" s="348" t="s">
        <v>295</v>
      </c>
      <c r="B130" s="334">
        <v>15</v>
      </c>
    </row>
    <row r="131" spans="1:6">
      <c r="A131" s="348" t="s">
        <v>296</v>
      </c>
      <c r="B131" s="334">
        <v>12</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408229.52184859902</v>
      </c>
      <c r="C3" s="43" t="s">
        <v>170</v>
      </c>
      <c r="D3" s="43"/>
      <c r="E3" s="154"/>
      <c r="F3" s="43"/>
      <c r="G3" s="43"/>
      <c r="H3" s="43"/>
      <c r="I3" s="43"/>
      <c r="J3" s="43"/>
      <c r="K3" s="96"/>
    </row>
    <row r="4" spans="1:11">
      <c r="A4" s="383" t="s">
        <v>171</v>
      </c>
      <c r="B4" s="49">
        <f>IF(ISERROR('SEAP template'!B78+'SEAP template'!C78),0,'SEAP template'!B78+'SEAP template'!C78)</f>
        <v>32547.559356377657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152.39117647058828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0.20375328200320592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217.70168067226894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916.07142857142856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6119.0190000000002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6119.0190000000002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0.20375328200320592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1246.7702038899752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104688.70404266294</v>
      </c>
      <c r="C5" s="17">
        <f>IF(ISERROR('Eigen informatie GS &amp; warmtenet'!B57),0,'Eigen informatie GS &amp; warmtenet'!B57)</f>
        <v>0</v>
      </c>
      <c r="D5" s="30">
        <f>(SUM(HH_hh_gas_kWh,HH_rest_gas_kWh)/1000)*0.902</f>
        <v>338893.8522766956</v>
      </c>
      <c r="E5" s="17">
        <f>B46*B57</f>
        <v>8484.5514072493315</v>
      </c>
      <c r="F5" s="17">
        <f>B51*B62</f>
        <v>27270.7211481495</v>
      </c>
      <c r="G5" s="18"/>
      <c r="H5" s="17"/>
      <c r="I5" s="17"/>
      <c r="J5" s="17">
        <f>B50*B61+C50*C61</f>
        <v>0</v>
      </c>
      <c r="K5" s="17"/>
      <c r="L5" s="17"/>
      <c r="M5" s="17"/>
      <c r="N5" s="17">
        <f>B48*B59+C48*C59</f>
        <v>41011.936664943045</v>
      </c>
      <c r="O5" s="17">
        <f>B69*B70*B71</f>
        <v>1048.9966666666669</v>
      </c>
      <c r="P5" s="17">
        <f>B77*B78*B79/1000-B77*B78*B79/1000/B80</f>
        <v>2326.1333333333332</v>
      </c>
    </row>
    <row r="6" spans="1:16">
      <c r="A6" s="16" t="s">
        <v>621</v>
      </c>
      <c r="B6" s="788">
        <f>kWh_PV_kleiner_dan_10kW</f>
        <v>10998.167352269338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115686.87139493227</v>
      </c>
      <c r="C8" s="21">
        <f>C5</f>
        <v>0</v>
      </c>
      <c r="D8" s="21">
        <f>D5</f>
        <v>338893.8522766956</v>
      </c>
      <c r="E8" s="21">
        <f>E5</f>
        <v>8484.5514072493315</v>
      </c>
      <c r="F8" s="21">
        <f>F5</f>
        <v>27270.7211481495</v>
      </c>
      <c r="G8" s="21"/>
      <c r="H8" s="21"/>
      <c r="I8" s="21"/>
      <c r="J8" s="21">
        <f>J5</f>
        <v>0</v>
      </c>
      <c r="K8" s="21"/>
      <c r="L8" s="21">
        <f>L5</f>
        <v>0</v>
      </c>
      <c r="M8" s="21">
        <f>M5</f>
        <v>0</v>
      </c>
      <c r="N8" s="21">
        <f>N5</f>
        <v>41011.936664943045</v>
      </c>
      <c r="O8" s="21">
        <f>O5</f>
        <v>1048.9966666666669</v>
      </c>
      <c r="P8" s="21">
        <f>P5</f>
        <v>2326.1333333333332</v>
      </c>
    </row>
    <row r="9" spans="1:16">
      <c r="B9" s="19"/>
      <c r="C9" s="19"/>
      <c r="D9" s="258"/>
      <c r="E9" s="19"/>
      <c r="F9" s="19"/>
      <c r="G9" s="19"/>
      <c r="H9" s="19"/>
      <c r="I9" s="19"/>
      <c r="J9" s="19"/>
      <c r="K9" s="19"/>
      <c r="L9" s="19"/>
      <c r="M9" s="19"/>
      <c r="N9" s="19"/>
      <c r="O9" s="19"/>
      <c r="P9" s="19"/>
    </row>
    <row r="10" spans="1:16">
      <c r="A10" s="24" t="s">
        <v>214</v>
      </c>
      <c r="B10" s="25">
        <f ca="1">'EF ele_warmte'!B12</f>
        <v>0.20375328200320592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23571.579731400252</v>
      </c>
      <c r="C12" s="23">
        <f ca="1">C10*C8</f>
        <v>0</v>
      </c>
      <c r="D12" s="23">
        <f>D8*D10</f>
        <v>68456.55815989252</v>
      </c>
      <c r="E12" s="23">
        <f>E10*E8</f>
        <v>1925.9931694455984</v>
      </c>
      <c r="F12" s="23">
        <f>F10*F8</f>
        <v>7281.2825465559172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19024</v>
      </c>
      <c r="C18" s="166" t="s">
        <v>111</v>
      </c>
      <c r="D18" s="228"/>
      <c r="E18" s="15"/>
    </row>
    <row r="19" spans="1:7">
      <c r="A19" s="171" t="s">
        <v>72</v>
      </c>
      <c r="B19" s="37">
        <f>aantalw2001_ander</f>
        <v>7</v>
      </c>
      <c r="C19" s="166" t="s">
        <v>111</v>
      </c>
      <c r="D19" s="229"/>
      <c r="E19" s="15"/>
    </row>
    <row r="20" spans="1:7">
      <c r="A20" s="171" t="s">
        <v>73</v>
      </c>
      <c r="B20" s="37">
        <f>aantalw2001_propaan</f>
        <v>196</v>
      </c>
      <c r="C20" s="167">
        <f>IF(ISERROR(B20/SUM($B$20,$B$21,$B$22)*100),0,B20/SUM($B$20,$B$21,$B$22)*100)</f>
        <v>6.4283371597244994</v>
      </c>
      <c r="D20" s="229"/>
      <c r="E20" s="15"/>
    </row>
    <row r="21" spans="1:7">
      <c r="A21" s="171" t="s">
        <v>74</v>
      </c>
      <c r="B21" s="37">
        <f>aantalw2001_elektriciteit</f>
        <v>2575</v>
      </c>
      <c r="C21" s="167">
        <f>IF(ISERROR(B21/SUM($B$20,$B$21,$B$22)*100),0,B21/SUM($B$20,$B$21,$B$22)*100)</f>
        <v>84.453919317809124</v>
      </c>
      <c r="D21" s="229"/>
      <c r="E21" s="15"/>
    </row>
    <row r="22" spans="1:7">
      <c r="A22" s="171" t="s">
        <v>75</v>
      </c>
      <c r="B22" s="37">
        <f>aantalw2001_hout</f>
        <v>278</v>
      </c>
      <c r="C22" s="167">
        <f>IF(ISERROR(B22/SUM($B$20,$B$21,$B$22)*100),0,B22/SUM($B$20,$B$21,$B$22)*100)</f>
        <v>9.1177435224663839</v>
      </c>
      <c r="D22" s="229"/>
      <c r="E22" s="15"/>
    </row>
    <row r="23" spans="1:7">
      <c r="A23" s="171" t="s">
        <v>76</v>
      </c>
      <c r="B23" s="37">
        <f>aantalw2001_niet_gespec</f>
        <v>715</v>
      </c>
      <c r="C23" s="166" t="s">
        <v>111</v>
      </c>
      <c r="D23" s="228"/>
      <c r="E23" s="15"/>
    </row>
    <row r="24" spans="1:7">
      <c r="A24" s="171" t="s">
        <v>77</v>
      </c>
      <c r="B24" s="37">
        <f>aantalw2001_steenkool</f>
        <v>618</v>
      </c>
      <c r="C24" s="166" t="s">
        <v>111</v>
      </c>
      <c r="D24" s="229"/>
      <c r="E24" s="15"/>
    </row>
    <row r="25" spans="1:7">
      <c r="A25" s="171" t="s">
        <v>78</v>
      </c>
      <c r="B25" s="37">
        <f>aantalw2001_stookolie</f>
        <v>6763</v>
      </c>
      <c r="C25" s="166" t="s">
        <v>111</v>
      </c>
      <c r="D25" s="228"/>
      <c r="E25" s="52"/>
    </row>
    <row r="26" spans="1:7">
      <c r="A26" s="171" t="s">
        <v>79</v>
      </c>
      <c r="B26" s="37">
        <f>aantalw2001_WP</f>
        <v>22</v>
      </c>
      <c r="C26" s="166" t="s">
        <v>111</v>
      </c>
      <c r="D26" s="228"/>
      <c r="E26" s="15"/>
    </row>
    <row r="27" spans="1:7" s="15" customFormat="1">
      <c r="A27" s="171"/>
      <c r="B27" s="29"/>
      <c r="C27" s="36"/>
      <c r="D27" s="228"/>
    </row>
    <row r="28" spans="1:7" s="15" customFormat="1">
      <c r="A28" s="230" t="s">
        <v>793</v>
      </c>
      <c r="B28" s="37">
        <f>aantalHuishoudens2011</f>
        <v>32777</v>
      </c>
      <c r="C28" s="36"/>
      <c r="D28" s="228"/>
    </row>
    <row r="29" spans="1:7" s="15" customFormat="1">
      <c r="A29" s="230" t="s">
        <v>794</v>
      </c>
      <c r="B29" s="37">
        <f>SUM(HH_hh_gas_aantal,HH_rest_gas_aantal)</f>
        <v>25368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25368</v>
      </c>
      <c r="C32" s="167">
        <f>IF(ISERROR(B32/SUM($B$32,$B$34,$B$35,$B$36,$B$38,$B$39)*100),0,B32/SUM($B$32,$B$34,$B$35,$B$36,$B$38,$B$39)*100)</f>
        <v>77.684887459807072</v>
      </c>
      <c r="D32" s="233"/>
      <c r="G32" s="15"/>
    </row>
    <row r="33" spans="1:7">
      <c r="A33" s="171" t="s">
        <v>72</v>
      </c>
      <c r="B33" s="34" t="s">
        <v>111</v>
      </c>
      <c r="C33" s="167"/>
      <c r="D33" s="233"/>
      <c r="G33" s="15"/>
    </row>
    <row r="34" spans="1:7">
      <c r="A34" s="171" t="s">
        <v>73</v>
      </c>
      <c r="B34" s="33">
        <f>IF((($B$28-$B$32-$B$39-$B$77-$B$38)*C20/100)&lt;0,0,($B$28-$B$32-$B$39-$B$77-$B$38)*C20/100)</f>
        <v>400.71682518858643</v>
      </c>
      <c r="C34" s="167">
        <f>IF(ISERROR(B34/SUM($B$32,$B$34,$B$35,$B$36,$B$38,$B$39)*100),0,B34/SUM($B$32,$B$34,$B$35,$B$36,$B$38,$B$39)*100)</f>
        <v>1.2271224167465515</v>
      </c>
      <c r="D34" s="233"/>
      <c r="G34" s="15"/>
    </row>
    <row r="35" spans="1:7">
      <c r="A35" s="171" t="s">
        <v>74</v>
      </c>
      <c r="B35" s="33">
        <f>IF((($B$28-$B$32-$B$39-$B$77-$B$38)*C21/100)&lt;0,0,($B$28-$B$32-$B$39-$B$77-$B$38)*C21/100)</f>
        <v>5264.5195145949501</v>
      </c>
      <c r="C35" s="167">
        <f>IF(ISERROR(B35/SUM($B$32,$B$34,$B$35,$B$36,$B$38,$B$39)*100),0,B35/SUM($B$32,$B$34,$B$35,$B$36,$B$38,$B$39)*100)</f>
        <v>16.121633791440669</v>
      </c>
      <c r="D35" s="233"/>
      <c r="G35" s="15"/>
    </row>
    <row r="36" spans="1:7">
      <c r="A36" s="171" t="s">
        <v>75</v>
      </c>
      <c r="B36" s="33">
        <f>IF((($B$28-$B$32-$B$39-$B$77-$B$38)*C22/100)&lt;0,0,($B$28-$B$32-$B$39-$B$77-$B$38)*C22/100)</f>
        <v>568.36366021646461</v>
      </c>
      <c r="C36" s="167">
        <f>IF(ISERROR(B36/SUM($B$32,$B$34,$B$35,$B$36,$B$38,$B$39)*100),0,B36/SUM($B$32,$B$34,$B$35,$B$36,$B$38,$B$39)*100)</f>
        <v>1.7405103666099053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1053.3999999999996</v>
      </c>
      <c r="C39" s="167">
        <f>IF(ISERROR(B39/SUM($B$32,$B$34,$B$35,$B$36,$B$38,$B$39)*100),0,B39/SUM($B$32,$B$34,$B$35,$B$36,$B$38,$B$39)*100)</f>
        <v>3.2258459653958038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25368</v>
      </c>
      <c r="C44" s="34" t="s">
        <v>111</v>
      </c>
      <c r="D44" s="174"/>
    </row>
    <row r="45" spans="1:7">
      <c r="A45" s="171" t="s">
        <v>72</v>
      </c>
      <c r="B45" s="33" t="str">
        <f t="shared" si="0"/>
        <v>-</v>
      </c>
      <c r="C45" s="34" t="s">
        <v>111</v>
      </c>
      <c r="D45" s="174"/>
    </row>
    <row r="46" spans="1:7">
      <c r="A46" s="171" t="s">
        <v>73</v>
      </c>
      <c r="B46" s="33">
        <f t="shared" si="0"/>
        <v>400.71682518858643</v>
      </c>
      <c r="C46" s="34" t="s">
        <v>111</v>
      </c>
      <c r="D46" s="174"/>
    </row>
    <row r="47" spans="1:7">
      <c r="A47" s="171" t="s">
        <v>74</v>
      </c>
      <c r="B47" s="33">
        <f t="shared" si="0"/>
        <v>5264.5195145949501</v>
      </c>
      <c r="C47" s="34" t="s">
        <v>111</v>
      </c>
      <c r="D47" s="174"/>
    </row>
    <row r="48" spans="1:7">
      <c r="A48" s="171" t="s">
        <v>75</v>
      </c>
      <c r="B48" s="33">
        <f t="shared" si="0"/>
        <v>568.36366021646461</v>
      </c>
      <c r="C48" s="33">
        <f>B48*10</f>
        <v>5683.6366021646463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1053.3999999999996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182620.57281796477</v>
      </c>
      <c r="C5" s="17">
        <f>IF(ISERROR('Eigen informatie GS &amp; warmtenet'!B58),0,'Eigen informatie GS &amp; warmtenet'!B58)</f>
        <v>0</v>
      </c>
      <c r="D5" s="30">
        <f>SUM(D6:D12)</f>
        <v>221279.07797363144</v>
      </c>
      <c r="E5" s="17">
        <f>SUM(E6:E12)</f>
        <v>2108.1251540347484</v>
      </c>
      <c r="F5" s="17">
        <f>SUM(F6:F12)</f>
        <v>31292.569891435051</v>
      </c>
      <c r="G5" s="18"/>
      <c r="H5" s="17"/>
      <c r="I5" s="17"/>
      <c r="J5" s="17">
        <f>SUM(J6:J12)</f>
        <v>0.43205794614142456</v>
      </c>
      <c r="K5" s="17"/>
      <c r="L5" s="17"/>
      <c r="M5" s="17"/>
      <c r="N5" s="17">
        <f>SUM(N6:N12)</f>
        <v>17527.99299170712</v>
      </c>
      <c r="O5" s="17">
        <f>B38*B39*B40</f>
        <v>23.45</v>
      </c>
      <c r="P5" s="17">
        <f>B46*B47*B48/1000-B46*B47*B48/1000/B49</f>
        <v>247.86666666666667</v>
      </c>
      <c r="R5" s="32"/>
    </row>
    <row r="6" spans="1:18">
      <c r="A6" s="32" t="s">
        <v>54</v>
      </c>
      <c r="B6" s="37">
        <f>B26</f>
        <v>51685.422646213898</v>
      </c>
      <c r="C6" s="33"/>
      <c r="D6" s="37">
        <f>IF(ISERROR(TER_kantoor_gas_kWh/1000),0,TER_kantoor_gas_kWh/1000)*0.902</f>
        <v>63030.768985066541</v>
      </c>
      <c r="E6" s="33">
        <f>$C$26*'E Balans VL '!I12/100/3.6*1000000</f>
        <v>0.32394703884420684</v>
      </c>
      <c r="F6" s="33">
        <f>$C$26*('E Balans VL '!L12+'E Balans VL '!N12)/100/3.6*1000000</f>
        <v>7766.8747952757103</v>
      </c>
      <c r="G6" s="34"/>
      <c r="H6" s="33"/>
      <c r="I6" s="33"/>
      <c r="J6" s="33">
        <f>$C$26*('E Balans VL '!D12+'E Balans VL '!E12)/100/3.6*1000000</f>
        <v>0</v>
      </c>
      <c r="K6" s="33"/>
      <c r="L6" s="33"/>
      <c r="M6" s="33"/>
      <c r="N6" s="33">
        <f>$C$26*'E Balans VL '!Y12/100/3.6*1000000</f>
        <v>49.429443556204248</v>
      </c>
      <c r="O6" s="33"/>
      <c r="P6" s="33"/>
      <c r="R6" s="32"/>
    </row>
    <row r="7" spans="1:18">
      <c r="A7" s="32" t="s">
        <v>53</v>
      </c>
      <c r="B7" s="37">
        <f t="shared" ref="B7:B12" si="0">B27</f>
        <v>18140.5405622572</v>
      </c>
      <c r="C7" s="33"/>
      <c r="D7" s="37">
        <f>IF(ISERROR(TER_horeca_gas_kWh/1000),0,TER_horeca_gas_kWh/1000)*0.902</f>
        <v>26138.084148243168</v>
      </c>
      <c r="E7" s="33">
        <f>$C$27*'E Balans VL '!I9/100/3.6*1000000</f>
        <v>259.76951921429031</v>
      </c>
      <c r="F7" s="33">
        <f>$C$27*('E Balans VL '!L9+'E Balans VL '!N9)/100/3.6*1000000</f>
        <v>2297.1907332594556</v>
      </c>
      <c r="G7" s="34"/>
      <c r="H7" s="33"/>
      <c r="I7" s="33"/>
      <c r="J7" s="33">
        <f>$C$27*('E Balans VL '!D9+'E Balans VL '!E9)/100/3.6*1000000</f>
        <v>0</v>
      </c>
      <c r="K7" s="33"/>
      <c r="L7" s="33"/>
      <c r="M7" s="33"/>
      <c r="N7" s="33">
        <f>$C$27*'E Balans VL '!Y9/100/3.6*1000000</f>
        <v>5.2150054470623743</v>
      </c>
      <c r="O7" s="33"/>
      <c r="P7" s="33"/>
      <c r="R7" s="32"/>
    </row>
    <row r="8" spans="1:18">
      <c r="A8" s="6" t="s">
        <v>52</v>
      </c>
      <c r="B8" s="37">
        <f t="shared" si="0"/>
        <v>41859.629807123601</v>
      </c>
      <c r="C8" s="33"/>
      <c r="D8" s="37">
        <f>IF(ISERROR(TER_handel_gas_kWh/1000),0,TER_handel_gas_kWh/1000)*0.902</f>
        <v>27074.278691293719</v>
      </c>
      <c r="E8" s="33">
        <f>$C$28*'E Balans VL '!I13/100/3.6*1000000</f>
        <v>1518.2436112060864</v>
      </c>
      <c r="F8" s="33">
        <f>$C$28*('E Balans VL '!L13+'E Balans VL '!N13)/100/3.6*1000000</f>
        <v>8062.5885565517083</v>
      </c>
      <c r="G8" s="34"/>
      <c r="H8" s="33"/>
      <c r="I8" s="33"/>
      <c r="J8" s="33">
        <f>$C$28*('E Balans VL '!D13+'E Balans VL '!E13)/100/3.6*1000000</f>
        <v>0</v>
      </c>
      <c r="K8" s="33"/>
      <c r="L8" s="33"/>
      <c r="M8" s="33"/>
      <c r="N8" s="33">
        <f>$C$28*'E Balans VL '!Y13/100/3.6*1000000</f>
        <v>57.985218754134067</v>
      </c>
      <c r="O8" s="33"/>
      <c r="P8" s="33"/>
      <c r="R8" s="32"/>
    </row>
    <row r="9" spans="1:18">
      <c r="A9" s="32" t="s">
        <v>51</v>
      </c>
      <c r="B9" s="37">
        <f t="shared" si="0"/>
        <v>29672.783154730801</v>
      </c>
      <c r="C9" s="33"/>
      <c r="D9" s="37">
        <f>IF(ISERROR(TER_gezond_gas_kWh/1000),0,TER_gezond_gas_kWh/1000)*0.902</f>
        <v>45093.394068052774</v>
      </c>
      <c r="E9" s="33">
        <f>$C$29*'E Balans VL '!I10/100/3.6*1000000</f>
        <v>1.8578091912924681</v>
      </c>
      <c r="F9" s="33">
        <f>$C$29*('E Balans VL '!L10+'E Balans VL '!N10)/100/3.6*1000000</f>
        <v>4407.982282655963</v>
      </c>
      <c r="G9" s="34"/>
      <c r="H9" s="33"/>
      <c r="I9" s="33"/>
      <c r="J9" s="33">
        <f>$C$29*('E Balans VL '!D10+'E Balans VL '!E10)/100/3.6*1000000</f>
        <v>0</v>
      </c>
      <c r="K9" s="33"/>
      <c r="L9" s="33"/>
      <c r="M9" s="33"/>
      <c r="N9" s="33">
        <f>$C$29*'E Balans VL '!Y10/100/3.6*1000000</f>
        <v>458.98147301620548</v>
      </c>
      <c r="O9" s="33"/>
      <c r="P9" s="33"/>
      <c r="R9" s="32"/>
    </row>
    <row r="10" spans="1:18">
      <c r="A10" s="32" t="s">
        <v>50</v>
      </c>
      <c r="B10" s="37">
        <f t="shared" si="0"/>
        <v>18107.970756458202</v>
      </c>
      <c r="C10" s="33"/>
      <c r="D10" s="37">
        <f>IF(ISERROR(TER_ander_gas_kWh/1000),0,TER_ander_gas_kWh/1000)*0.902</f>
        <v>27877.574474330919</v>
      </c>
      <c r="E10" s="33">
        <f>$C$30*'E Balans VL '!I14/100/3.6*1000000</f>
        <v>21.584054072158882</v>
      </c>
      <c r="F10" s="33">
        <f>$C$30*('E Balans VL '!L14+'E Balans VL '!N14)/100/3.6*1000000</f>
        <v>4737.8501670407213</v>
      </c>
      <c r="G10" s="34"/>
      <c r="H10" s="33"/>
      <c r="I10" s="33"/>
      <c r="J10" s="33">
        <f>$C$30*('E Balans VL '!D14+'E Balans VL '!E14)/100/3.6*1000000</f>
        <v>0.39305306383727467</v>
      </c>
      <c r="K10" s="33"/>
      <c r="L10" s="33"/>
      <c r="M10" s="33"/>
      <c r="N10" s="33">
        <f>$C$30*'E Balans VL '!Y14/100/3.6*1000000</f>
        <v>15376.845670576915</v>
      </c>
      <c r="O10" s="33"/>
      <c r="P10" s="33"/>
      <c r="R10" s="32"/>
    </row>
    <row r="11" spans="1:18">
      <c r="A11" s="32" t="s">
        <v>55</v>
      </c>
      <c r="B11" s="37">
        <f t="shared" si="0"/>
        <v>7046.65793527804</v>
      </c>
      <c r="C11" s="33"/>
      <c r="D11" s="37">
        <f>IF(ISERROR(TER_onderwijs_gas_kWh/1000),0,TER_onderwijs_gas_kWh/1000)*0.902</f>
        <v>17281.321138237417</v>
      </c>
      <c r="E11" s="33">
        <f>$C$31*'E Balans VL '!I11/100/3.6*1000000</f>
        <v>106.32271852149927</v>
      </c>
      <c r="F11" s="33">
        <f>$C$31*('E Balans VL '!L11+'E Balans VL '!N11)/100/3.6*1000000</f>
        <v>1234.6870439702589</v>
      </c>
      <c r="G11" s="34"/>
      <c r="H11" s="33"/>
      <c r="I11" s="33"/>
      <c r="J11" s="33">
        <f>$C$31*('E Balans VL '!D11+'E Balans VL '!E11)/100/3.6*1000000</f>
        <v>0</v>
      </c>
      <c r="K11" s="33"/>
      <c r="L11" s="33"/>
      <c r="M11" s="33"/>
      <c r="N11" s="33">
        <f>$C$31*'E Balans VL '!Y11/100/3.6*1000000</f>
        <v>19.829831137209382</v>
      </c>
      <c r="O11" s="33"/>
      <c r="P11" s="33"/>
      <c r="R11" s="32"/>
    </row>
    <row r="12" spans="1:18">
      <c r="A12" s="32" t="s">
        <v>260</v>
      </c>
      <c r="B12" s="37">
        <f t="shared" si="0"/>
        <v>16107.567955903001</v>
      </c>
      <c r="C12" s="33"/>
      <c r="D12" s="37">
        <f>IF(ISERROR(TER_rest_gas_kWh/1000),0,TER_rest_gas_kWh/1000)*0.902</f>
        <v>14783.656468406898</v>
      </c>
      <c r="E12" s="33">
        <f>$C$32*'E Balans VL '!I8/100/3.6*1000000</f>
        <v>200.02349479057688</v>
      </c>
      <c r="F12" s="33">
        <f>$C$32*('E Balans VL '!L8+'E Balans VL '!N8)/100/3.6*1000000</f>
        <v>2785.3963126812337</v>
      </c>
      <c r="G12" s="34"/>
      <c r="H12" s="33"/>
      <c r="I12" s="33"/>
      <c r="J12" s="33">
        <f>$C$32*('E Balans VL '!D8+'E Balans VL '!E8)/100/3.6*1000000</f>
        <v>3.9004882304149918E-2</v>
      </c>
      <c r="K12" s="33"/>
      <c r="L12" s="33"/>
      <c r="M12" s="33"/>
      <c r="N12" s="33">
        <f>$C$32*'E Balans VL '!Y8/100/3.6*1000000</f>
        <v>1559.7063492193904</v>
      </c>
      <c r="O12" s="33"/>
      <c r="P12" s="33"/>
      <c r="R12" s="32"/>
    </row>
    <row r="13" spans="1:18">
      <c r="A13" s="16" t="s">
        <v>488</v>
      </c>
      <c r="B13" s="247">
        <f ca="1">'lokale energieproductie'!N91+'lokale energieproductie'!N60</f>
        <v>641.25</v>
      </c>
      <c r="C13" s="247">
        <f ca="1">'lokale energieproductie'!O91+'lokale energieproductie'!O60</f>
        <v>916.07142857142856</v>
      </c>
      <c r="D13" s="310">
        <f ca="1">('lokale energieproductie'!P60+'lokale energieproductie'!P91)*(-1)</f>
        <v>-1832.1428571428573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183261.82281796477</v>
      </c>
      <c r="C16" s="21">
        <f t="shared" ca="1" si="1"/>
        <v>916.07142857142856</v>
      </c>
      <c r="D16" s="21">
        <f t="shared" ca="1" si="1"/>
        <v>219446.93511648857</v>
      </c>
      <c r="E16" s="21">
        <f t="shared" si="1"/>
        <v>2108.1251540347484</v>
      </c>
      <c r="F16" s="21">
        <f t="shared" ca="1" si="1"/>
        <v>31292.569891435051</v>
      </c>
      <c r="G16" s="21">
        <f t="shared" si="1"/>
        <v>0</v>
      </c>
      <c r="H16" s="21">
        <f t="shared" si="1"/>
        <v>0</v>
      </c>
      <c r="I16" s="21">
        <f t="shared" si="1"/>
        <v>0</v>
      </c>
      <c r="J16" s="21">
        <f t="shared" si="1"/>
        <v>0.43205794614142456</v>
      </c>
      <c r="K16" s="21">
        <f t="shared" si="1"/>
        <v>0</v>
      </c>
      <c r="L16" s="21">
        <f t="shared" ca="1" si="1"/>
        <v>0</v>
      </c>
      <c r="M16" s="21">
        <f t="shared" si="1"/>
        <v>0</v>
      </c>
      <c r="N16" s="21">
        <f t="shared" ca="1" si="1"/>
        <v>17527.99299170712</v>
      </c>
      <c r="O16" s="21">
        <f>O5</f>
        <v>23.45</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0.20375328200320592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37340.19786505033</v>
      </c>
      <c r="C20" s="23">
        <f t="shared" ref="C20:P20" ca="1" si="2">C16*C18</f>
        <v>217.70168067226894</v>
      </c>
      <c r="D20" s="23">
        <f t="shared" ca="1" si="2"/>
        <v>44328.280893530697</v>
      </c>
      <c r="E20" s="23">
        <f t="shared" si="2"/>
        <v>478.54440996588789</v>
      </c>
      <c r="F20" s="23">
        <f t="shared" ca="1" si="2"/>
        <v>8355.1161610131585</v>
      </c>
      <c r="G20" s="23">
        <f t="shared" si="2"/>
        <v>0</v>
      </c>
      <c r="H20" s="23">
        <f t="shared" si="2"/>
        <v>0</v>
      </c>
      <c r="I20" s="23">
        <f t="shared" si="2"/>
        <v>0</v>
      </c>
      <c r="J20" s="23">
        <f t="shared" si="2"/>
        <v>0.15294851293406428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51685.422646213898</v>
      </c>
      <c r="C26" s="39">
        <f>IF(ISERROR(B26*3.6/1000000/'E Balans VL '!Z12*100),0,B26*3.6/1000000/'E Balans VL '!Z12*100)</f>
        <v>1.0925479584179243</v>
      </c>
      <c r="D26" s="237" t="s">
        <v>754</v>
      </c>
      <c r="F26" s="6"/>
    </row>
    <row r="27" spans="1:18">
      <c r="A27" s="231" t="s">
        <v>53</v>
      </c>
      <c r="B27" s="33">
        <f>IF(ISERROR(TER_horeca_ele_kWh/1000),0,TER_horeca_ele_kWh/1000)</f>
        <v>18140.5405622572</v>
      </c>
      <c r="C27" s="39">
        <f>IF(ISERROR(B27*3.6/1000000/'E Balans VL '!Z9*100),0,B27*3.6/1000000/'E Balans VL '!Z9*100)</f>
        <v>1.4300120511980896</v>
      </c>
      <c r="D27" s="237" t="s">
        <v>754</v>
      </c>
      <c r="F27" s="6"/>
    </row>
    <row r="28" spans="1:18">
      <c r="A28" s="171" t="s">
        <v>52</v>
      </c>
      <c r="B28" s="33">
        <f>IF(ISERROR(TER_handel_ele_kWh/1000),0,TER_handel_ele_kWh/1000)</f>
        <v>41859.629807123601</v>
      </c>
      <c r="C28" s="39">
        <f>IF(ISERROR(B28*3.6/1000000/'E Balans VL '!Z13*100),0,B28*3.6/1000000/'E Balans VL '!Z13*100)</f>
        <v>1.2149355888594049</v>
      </c>
      <c r="D28" s="237" t="s">
        <v>754</v>
      </c>
      <c r="F28" s="6"/>
    </row>
    <row r="29" spans="1:18">
      <c r="A29" s="231" t="s">
        <v>51</v>
      </c>
      <c r="B29" s="33">
        <f>IF(ISERROR(TER_gezond_ele_kWh/1000),0,TER_gezond_ele_kWh/1000)</f>
        <v>29672.783154730801</v>
      </c>
      <c r="C29" s="39">
        <f>IF(ISERROR(B29*3.6/1000000/'E Balans VL '!Z10*100),0,B29*3.6/1000000/'E Balans VL '!Z10*100)</f>
        <v>3.1250313061538062</v>
      </c>
      <c r="D29" s="237" t="s">
        <v>754</v>
      </c>
      <c r="F29" s="6"/>
    </row>
    <row r="30" spans="1:18">
      <c r="A30" s="231" t="s">
        <v>50</v>
      </c>
      <c r="B30" s="33">
        <f>IF(ISERROR(TER_ander_ele_kWh/1000),0,TER_ander_ele_kWh/1000)</f>
        <v>18107.970756458202</v>
      </c>
      <c r="C30" s="39">
        <f>IF(ISERROR(B30*3.6/1000000/'E Balans VL '!Z14*100),0,B30*3.6/1000000/'E Balans VL '!Z14*100)</f>
        <v>1.3356478560280411</v>
      </c>
      <c r="D30" s="237" t="s">
        <v>754</v>
      </c>
      <c r="F30" s="6"/>
    </row>
    <row r="31" spans="1:18">
      <c r="A31" s="231" t="s">
        <v>55</v>
      </c>
      <c r="B31" s="33">
        <f>IF(ISERROR(TER_onderwijs_ele_kWh/1000),0,TER_onderwijs_ele_kWh/1000)</f>
        <v>7046.65793527804</v>
      </c>
      <c r="C31" s="39">
        <f>IF(ISERROR(B31*3.6/1000000/'E Balans VL '!Z11*100),0,B31*3.6/1000000/'E Balans VL '!Z11*100)</f>
        <v>1.7500152502266053</v>
      </c>
      <c r="D31" s="237" t="s">
        <v>754</v>
      </c>
    </row>
    <row r="32" spans="1:18">
      <c r="A32" s="231" t="s">
        <v>260</v>
      </c>
      <c r="B32" s="33">
        <f>IF(ISERROR(TER_rest_ele_kWh/1000),0,TER_rest_ele_kWh/1000)</f>
        <v>16107.567955903001</v>
      </c>
      <c r="C32" s="39">
        <f>IF(ISERROR(B32*3.6/1000000/'E Balans VL '!Z8*100),0,B32*3.6/1000000/'E Balans VL '!Z8*100)</f>
        <v>0.132543903654017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94393.061603080976</v>
      </c>
      <c r="C5" s="17">
        <f>IF(ISERROR('Eigen informatie GS &amp; warmtenet'!B59),0,'Eigen informatie GS &amp; warmtenet'!B59)</f>
        <v>0</v>
      </c>
      <c r="D5" s="30">
        <f>SUM(D6:D15)</f>
        <v>168469.35246352345</v>
      </c>
      <c r="E5" s="17">
        <f>SUM(E6:E15)</f>
        <v>5618.310399988166</v>
      </c>
      <c r="F5" s="17">
        <f>SUM(F6:F15)</f>
        <v>19564.600940515287</v>
      </c>
      <c r="G5" s="18"/>
      <c r="H5" s="17"/>
      <c r="I5" s="17"/>
      <c r="J5" s="17">
        <f>SUM(J6:J15)</f>
        <v>149.91782313654929</v>
      </c>
      <c r="K5" s="17"/>
      <c r="L5" s="17"/>
      <c r="M5" s="17"/>
      <c r="N5" s="17">
        <f>SUM(N6:N15)</f>
        <v>54077.215041579722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15689.222891453599</v>
      </c>
      <c r="C8" s="33"/>
      <c r="D8" s="37">
        <f>IF( ISERROR(IND_metaal_Gas_kWH/1000),0,IND_metaal_Gas_kWH/1000)*0.902</f>
        <v>13610.897853676957</v>
      </c>
      <c r="E8" s="33">
        <f>C30*'E Balans VL '!I18/100/3.6*1000000</f>
        <v>144.24725169134376</v>
      </c>
      <c r="F8" s="33">
        <f>C30*'E Balans VL '!L18/100/3.6*1000000+C30*'E Balans VL '!N18/100/3.6*1000000</f>
        <v>1471.1267601139225</v>
      </c>
      <c r="G8" s="34"/>
      <c r="H8" s="33"/>
      <c r="I8" s="33"/>
      <c r="J8" s="40">
        <f>C30*'E Balans VL '!D18/100/3.6*1000000+C30*'E Balans VL '!E18/100/3.6*1000000</f>
        <v>0</v>
      </c>
      <c r="K8" s="33"/>
      <c r="L8" s="33"/>
      <c r="M8" s="33"/>
      <c r="N8" s="33">
        <f>C30*'E Balans VL '!Y18/100/3.6*1000000</f>
        <v>223.83269207924928</v>
      </c>
      <c r="O8" s="33"/>
      <c r="P8" s="33"/>
      <c r="R8" s="32"/>
    </row>
    <row r="9" spans="1:18">
      <c r="A9" s="6" t="s">
        <v>33</v>
      </c>
      <c r="B9" s="37">
        <f t="shared" si="0"/>
        <v>10760.190505045499</v>
      </c>
      <c r="C9" s="33"/>
      <c r="D9" s="37">
        <f>IF( ISERROR(IND_andere_gas_kWh/1000),0,IND_andere_gas_kWh/1000)*0.902</f>
        <v>8968.8054274140213</v>
      </c>
      <c r="E9" s="33">
        <f>C31*'E Balans VL '!I19/100/3.6*1000000</f>
        <v>3145.4131608263569</v>
      </c>
      <c r="F9" s="33">
        <f>C31*'E Balans VL '!L19/100/3.6*1000000+C31*'E Balans VL '!N19/100/3.6*1000000</f>
        <v>8646.6275423868174</v>
      </c>
      <c r="G9" s="34"/>
      <c r="H9" s="33"/>
      <c r="I9" s="33"/>
      <c r="J9" s="40">
        <f>C31*'E Balans VL '!D19/100/3.6*1000000+C31*'E Balans VL '!E19/100/3.6*1000000</f>
        <v>0</v>
      </c>
      <c r="K9" s="33"/>
      <c r="L9" s="33"/>
      <c r="M9" s="33"/>
      <c r="N9" s="33">
        <f>C31*'E Balans VL '!Y19/100/3.6*1000000</f>
        <v>3555.3338215900544</v>
      </c>
      <c r="O9" s="33"/>
      <c r="P9" s="33"/>
      <c r="R9" s="32"/>
    </row>
    <row r="10" spans="1:18">
      <c r="A10" s="6" t="s">
        <v>41</v>
      </c>
      <c r="B10" s="37">
        <f t="shared" si="0"/>
        <v>9867.3037227205714</v>
      </c>
      <c r="C10" s="33"/>
      <c r="D10" s="37">
        <f>IF( ISERROR(IND_voed_gas_kWh/1000),0,IND_voed_gas_kWh/1000)*0.902</f>
        <v>15770.314487700964</v>
      </c>
      <c r="E10" s="33">
        <f>C32*'E Balans VL '!I20/100/3.6*1000000</f>
        <v>20.874434019771634</v>
      </c>
      <c r="F10" s="33">
        <f>C32*'E Balans VL '!L20/100/3.6*1000000+C32*'E Balans VL '!N20/100/3.6*1000000</f>
        <v>627.37324984576003</v>
      </c>
      <c r="G10" s="34"/>
      <c r="H10" s="33"/>
      <c r="I10" s="33"/>
      <c r="J10" s="40">
        <f>C32*'E Balans VL '!D20/100/3.6*1000000+C32*'E Balans VL '!E20/100/3.6*1000000</f>
        <v>0</v>
      </c>
      <c r="K10" s="33"/>
      <c r="L10" s="33"/>
      <c r="M10" s="33"/>
      <c r="N10" s="33">
        <f>C32*'E Balans VL '!Y20/100/3.6*1000000</f>
        <v>680.94132980012216</v>
      </c>
      <c r="O10" s="33"/>
      <c r="P10" s="33"/>
      <c r="R10" s="32"/>
    </row>
    <row r="11" spans="1:18">
      <c r="A11" s="6" t="s">
        <v>40</v>
      </c>
      <c r="B11" s="37">
        <f t="shared" si="0"/>
        <v>2954.8003816007704</v>
      </c>
      <c r="C11" s="33"/>
      <c r="D11" s="37">
        <f>IF( ISERROR(IND_textiel_gas_kWh/1000),0,IND_textiel_gas_kWh/1000)*0.902</f>
        <v>607.42969760394567</v>
      </c>
      <c r="E11" s="33">
        <f>C33*'E Balans VL '!I21/100/3.6*1000000</f>
        <v>8.7755023805870653</v>
      </c>
      <c r="F11" s="33">
        <f>C33*'E Balans VL '!L21/100/3.6*1000000+C33*'E Balans VL '!N21/100/3.6*1000000</f>
        <v>298.51595997592216</v>
      </c>
      <c r="G11" s="34"/>
      <c r="H11" s="33"/>
      <c r="I11" s="33"/>
      <c r="J11" s="40">
        <f>C33*'E Balans VL '!D21/100/3.6*1000000+C33*'E Balans VL '!E21/100/3.6*1000000</f>
        <v>0</v>
      </c>
      <c r="K11" s="33"/>
      <c r="L11" s="33"/>
      <c r="M11" s="33"/>
      <c r="N11" s="33">
        <f>C33*'E Balans VL '!Y21/100/3.6*1000000</f>
        <v>162.96667086004197</v>
      </c>
      <c r="O11" s="33"/>
      <c r="P11" s="33"/>
      <c r="R11" s="32"/>
    </row>
    <row r="12" spans="1:18">
      <c r="A12" s="6" t="s">
        <v>37</v>
      </c>
      <c r="B12" s="37">
        <f t="shared" si="0"/>
        <v>28.409379032128303</v>
      </c>
      <c r="C12" s="33"/>
      <c r="D12" s="37">
        <f>IF( ISERROR(IND_min_gas_kWh/1000),0,IND_min_gas_kWh/1000)*0.902</f>
        <v>167.98974842823196</v>
      </c>
      <c r="E12" s="33">
        <f>C34*'E Balans VL '!I22/100/3.6*1000000</f>
        <v>0.82347091786037419</v>
      </c>
      <c r="F12" s="33">
        <f>C34*'E Balans VL '!L22/100/3.6*1000000+C34*'E Balans VL '!N22/100/3.6*1000000</f>
        <v>9.7674655443836684</v>
      </c>
      <c r="G12" s="34"/>
      <c r="H12" s="33"/>
      <c r="I12" s="33"/>
      <c r="J12" s="40">
        <f>C34*'E Balans VL '!D22/100/3.6*1000000+C34*'E Balans VL '!E22/100/3.6*1000000</f>
        <v>4.6685170788458998E-2</v>
      </c>
      <c r="K12" s="33"/>
      <c r="L12" s="33"/>
      <c r="M12" s="33"/>
      <c r="N12" s="33">
        <f>C34*'E Balans VL '!Y22/100/3.6*1000000</f>
        <v>6.2192799297337347</v>
      </c>
      <c r="O12" s="33"/>
      <c r="P12" s="33"/>
      <c r="R12" s="32"/>
    </row>
    <row r="13" spans="1:18">
      <c r="A13" s="6" t="s">
        <v>39</v>
      </c>
      <c r="B13" s="37">
        <f t="shared" si="0"/>
        <v>13826.800021033199</v>
      </c>
      <c r="C13" s="33"/>
      <c r="D13" s="37">
        <f>IF( ISERROR(IND_papier_gas_kWh/1000),0,IND_papier_gas_kWh/1000)*0.902</f>
        <v>12383.800008047079</v>
      </c>
      <c r="E13" s="33">
        <f>C35*'E Balans VL '!I23/100/3.6*1000000</f>
        <v>19.617067065229122</v>
      </c>
      <c r="F13" s="33">
        <f>C35*'E Balans VL '!L23/100/3.6*1000000+C35*'E Balans VL '!N23/100/3.6*1000000</f>
        <v>337.56418063366073</v>
      </c>
      <c r="G13" s="34"/>
      <c r="H13" s="33"/>
      <c r="I13" s="33"/>
      <c r="J13" s="40">
        <f>C35*'E Balans VL '!D23/100/3.6*1000000+C35*'E Balans VL '!E23/100/3.6*1000000</f>
        <v>2.1384444371619105</v>
      </c>
      <c r="K13" s="33"/>
      <c r="L13" s="33"/>
      <c r="M13" s="33"/>
      <c r="N13" s="33">
        <f>C35*'E Balans VL '!Y23/100/3.6*1000000</f>
        <v>40191.234632765481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41266.334702195199</v>
      </c>
      <c r="C15" s="33"/>
      <c r="D15" s="37">
        <f>IF( ISERROR(IND_rest_gas_kWh/1000),0,IND_rest_gas_kWh/1000)*0.902</f>
        <v>116960.11524065225</v>
      </c>
      <c r="E15" s="33">
        <f>C37*'E Balans VL '!I15/100/3.6*1000000</f>
        <v>2278.5595130870165</v>
      </c>
      <c r="F15" s="33">
        <f>C37*'E Balans VL '!L15/100/3.6*1000000+C37*'E Balans VL '!N15/100/3.6*1000000</f>
        <v>8173.6257820148203</v>
      </c>
      <c r="G15" s="34"/>
      <c r="H15" s="33"/>
      <c r="I15" s="33"/>
      <c r="J15" s="40">
        <f>C37*'E Balans VL '!D15/100/3.6*1000000+C37*'E Balans VL '!E15/100/3.6*1000000</f>
        <v>147.73269352859893</v>
      </c>
      <c r="K15" s="33"/>
      <c r="L15" s="33"/>
      <c r="M15" s="33"/>
      <c r="N15" s="33">
        <f>C37*'E Balans VL '!Y15/100/3.6*1000000</f>
        <v>9256.6866145550412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94393.061603080976</v>
      </c>
      <c r="C18" s="21">
        <f>C5+C16</f>
        <v>0</v>
      </c>
      <c r="D18" s="21">
        <f>MAX((D5+D16),0)</f>
        <v>168469.35246352345</v>
      </c>
      <c r="E18" s="21">
        <f>MAX((E5+E16),0)</f>
        <v>5618.310399988166</v>
      </c>
      <c r="F18" s="21">
        <f>MAX((F5+F16),0)</f>
        <v>19564.600940515287</v>
      </c>
      <c r="G18" s="21"/>
      <c r="H18" s="21"/>
      <c r="I18" s="21"/>
      <c r="J18" s="21">
        <f>MAX((J5+J16),0)</f>
        <v>149.91782313654929</v>
      </c>
      <c r="K18" s="21"/>
      <c r="L18" s="21">
        <f>MAX((L5+L16),0)</f>
        <v>0</v>
      </c>
      <c r="M18" s="21"/>
      <c r="N18" s="21">
        <f>MAX((N5+N16),0)</f>
        <v>54077.215041579722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0.20375328200320592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19232.896099958547</v>
      </c>
      <c r="C22" s="23">
        <f ca="1">C18*C20</f>
        <v>0</v>
      </c>
      <c r="D22" s="23">
        <f>D18*D20</f>
        <v>34030.809197631737</v>
      </c>
      <c r="E22" s="23">
        <f>E18*E20</f>
        <v>1275.3564607973137</v>
      </c>
      <c r="F22" s="23">
        <f>F18*F20</f>
        <v>5223.7484511175817</v>
      </c>
      <c r="G22" s="23"/>
      <c r="H22" s="23"/>
      <c r="I22" s="23"/>
      <c r="J22" s="23">
        <f>J18*J20</f>
        <v>53.070909390338443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15689.222891453599</v>
      </c>
      <c r="C30" s="39">
        <f>IF(ISERROR(B30*3.6/1000000/'E Balans VL '!Z18*100),0,B30*3.6/1000000/'E Balans VL '!Z18*100)</f>
        <v>0.88914849105739269</v>
      </c>
      <c r="D30" s="237" t="s">
        <v>754</v>
      </c>
    </row>
    <row r="31" spans="1:18">
      <c r="A31" s="6" t="s">
        <v>33</v>
      </c>
      <c r="B31" s="37">
        <f>IF( ISERROR(IND_ander_ele_kWh/1000),0,IND_ander_ele_kWh/1000)</f>
        <v>10760.190505045499</v>
      </c>
      <c r="C31" s="39">
        <f>IF(ISERROR(B31*3.6/1000000/'E Balans VL '!Z19*100),0,B31*3.6/1000000/'E Balans VL '!Z19*100)</f>
        <v>0.4880374366554121</v>
      </c>
      <c r="D31" s="237" t="s">
        <v>754</v>
      </c>
    </row>
    <row r="32" spans="1:18">
      <c r="A32" s="171" t="s">
        <v>41</v>
      </c>
      <c r="B32" s="37">
        <f>IF( ISERROR(IND_voed_ele_kWh/1000),0,IND_voed_ele_kWh/1000)</f>
        <v>9867.3037227205714</v>
      </c>
      <c r="C32" s="39">
        <f>IF(ISERROR(B32*3.6/1000000/'E Balans VL '!Z20*100),0,B32*3.6/1000000/'E Balans VL '!Z20*100)</f>
        <v>0.30524049792046376</v>
      </c>
      <c r="D32" s="237" t="s">
        <v>754</v>
      </c>
    </row>
    <row r="33" spans="1:5">
      <c r="A33" s="171" t="s">
        <v>40</v>
      </c>
      <c r="B33" s="37">
        <f>IF( ISERROR(IND_textiel_ele_kWh/1000),0,IND_textiel_ele_kWh/1000)</f>
        <v>2954.8003816007704</v>
      </c>
      <c r="C33" s="39">
        <f>IF(ISERROR(B33*3.6/1000000/'E Balans VL '!Z21*100),0,B33*3.6/1000000/'E Balans VL '!Z21*100)</f>
        <v>0.38527312548206377</v>
      </c>
      <c r="D33" s="237" t="s">
        <v>754</v>
      </c>
    </row>
    <row r="34" spans="1:5">
      <c r="A34" s="171" t="s">
        <v>37</v>
      </c>
      <c r="B34" s="37">
        <f>IF( ISERROR(IND_min_ele_kWh/1000),0,IND_min_ele_kWh/1000)</f>
        <v>28.409379032128303</v>
      </c>
      <c r="C34" s="39">
        <f>IF(ISERROR(B34*3.6/1000000/'E Balans VL '!Z22*100),0,B34*3.6/1000000/'E Balans VL '!Z22*100)</f>
        <v>5.1099609254622409E-3</v>
      </c>
      <c r="D34" s="237" t="s">
        <v>754</v>
      </c>
    </row>
    <row r="35" spans="1:5">
      <c r="A35" s="171" t="s">
        <v>39</v>
      </c>
      <c r="B35" s="37">
        <f>IF( ISERROR(IND_papier_ele_kWh/1000),0,IND_papier_ele_kWh/1000)</f>
        <v>13826.800021033199</v>
      </c>
      <c r="C35" s="39">
        <f>IF(ISERROR(B35*3.6/1000000/'E Balans VL '!Z22*100),0,B35*3.6/1000000/'E Balans VL '!Z22*100)</f>
        <v>2.4870099325915125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41266.334702195199</v>
      </c>
      <c r="C37" s="39">
        <f>IF(ISERROR(B37*3.6/1000000/'E Balans VL '!Z15*100),0,B37*3.6/1000000/'E Balans VL '!Z15*100)</f>
        <v>0.32708638239381177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2859.40568293357</v>
      </c>
      <c r="C5" s="17">
        <f>'Eigen informatie GS &amp; warmtenet'!B60</f>
        <v>0</v>
      </c>
      <c r="D5" s="30">
        <f>IF(ISERROR(SUM(LB_lb_gas_kWh,LB_rest_gas_kWh)/1000),0,SUM(LB_lb_gas_kWh,LB_rest_gas_kWh)/1000)*0.902</f>
        <v>783.69862615702084</v>
      </c>
      <c r="E5" s="17">
        <f>B17*'E Balans VL '!I25/3.6*1000000/100</f>
        <v>84.04666665442231</v>
      </c>
      <c r="F5" s="17">
        <f>B17*('E Balans VL '!L25/3.6*1000000+'E Balans VL '!N25/3.6*1000000)/100</f>
        <v>11912.129560928235</v>
      </c>
      <c r="G5" s="18"/>
      <c r="H5" s="17"/>
      <c r="I5" s="17"/>
      <c r="J5" s="17">
        <f>('E Balans VL '!D25+'E Balans VL '!E25)/3.6*1000000*landbouw!B17/100</f>
        <v>414.26647701712068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2859.40568293357</v>
      </c>
      <c r="C8" s="21">
        <f>C5+C6</f>
        <v>0</v>
      </c>
      <c r="D8" s="21">
        <f>MAX((D5+D6),0)</f>
        <v>783.69862615702084</v>
      </c>
      <c r="E8" s="21">
        <f>MAX((E5+E6),0)</f>
        <v>84.04666665442231</v>
      </c>
      <c r="F8" s="21">
        <f>MAX((F5+F6),0)</f>
        <v>11912.129560928235</v>
      </c>
      <c r="G8" s="21"/>
      <c r="H8" s="21"/>
      <c r="I8" s="21"/>
      <c r="J8" s="21">
        <f>MAX((J5+J6),0)</f>
        <v>414.26647701712068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0.20375328200320592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582.6132924763333</v>
      </c>
      <c r="C12" s="23">
        <f ca="1">C8*C10</f>
        <v>0</v>
      </c>
      <c r="D12" s="23">
        <f>D8*D10</f>
        <v>158.30712248371822</v>
      </c>
      <c r="E12" s="23">
        <f>E8*E10</f>
        <v>19.078593330553865</v>
      </c>
      <c r="F12" s="23">
        <f>F8*F10</f>
        <v>3180.538592767839</v>
      </c>
      <c r="G12" s="23"/>
      <c r="H12" s="23"/>
      <c r="I12" s="23"/>
      <c r="J12" s="23">
        <f>J8*J10</f>
        <v>146.65033286406072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0.40575863752001279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418.35968298887946</v>
      </c>
      <c r="C26" s="247">
        <f>B26*'GWP N2O_CH4'!B5</f>
        <v>8785.5533427664686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110.10070526394912</v>
      </c>
      <c r="C27" s="247">
        <f>B27*'GWP N2O_CH4'!B5</f>
        <v>2312.1148105429315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5.5444775628452794</v>
      </c>
      <c r="C28" s="247">
        <f>B28*'GWP N2O_CH4'!B4</f>
        <v>1718.7880444820366</v>
      </c>
      <c r="D28" s="50"/>
    </row>
    <row r="29" spans="1:4">
      <c r="A29" s="41" t="s">
        <v>277</v>
      </c>
      <c r="B29" s="247">
        <f>B34*'ha_N2O bodem landbouw'!B4</f>
        <v>23.482778234438431</v>
      </c>
      <c r="C29" s="247">
        <f>B29*'GWP N2O_CH4'!B4</f>
        <v>7279.6612526759136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5.3586890678449257E-3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8.1453501903084192E-4</v>
      </c>
      <c r="C5" s="463" t="s">
        <v>211</v>
      </c>
      <c r="D5" s="448">
        <f>SUM(D6:D11)</f>
        <v>2.7791961305614638E-3</v>
      </c>
      <c r="E5" s="448">
        <f>SUM(E6:E11)</f>
        <v>4.1251772960556356E-3</v>
      </c>
      <c r="F5" s="461" t="s">
        <v>211</v>
      </c>
      <c r="G5" s="448">
        <f>SUM(G6:G11)</f>
        <v>1.9701835659049305</v>
      </c>
      <c r="H5" s="448">
        <f>SUM(H6:H11)</f>
        <v>0.31990206586051118</v>
      </c>
      <c r="I5" s="463" t="s">
        <v>211</v>
      </c>
      <c r="J5" s="463" t="s">
        <v>211</v>
      </c>
      <c r="K5" s="463" t="s">
        <v>211</v>
      </c>
      <c r="L5" s="463" t="s">
        <v>211</v>
      </c>
      <c r="M5" s="448">
        <f>SUM(M6:M11)</f>
        <v>0.12454711617761868</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3.1810029234615584E-4</v>
      </c>
      <c r="C6" s="449"/>
      <c r="D6" s="892">
        <f>vkm_2011_GW_PW*SUMIFS(TableVerdeelsleutelVkm[CNG],TableVerdeelsleutelVkm[Voertuigtype],"Lichte voertuigen")*SUMIFS(TableECFTransport[EnergieConsumptieFactor (PJ per km)],TableECFTransport[Index],CONCATENATE($A6,"_CNG_CNG"))</f>
        <v>9.5411830407767743E-4</v>
      </c>
      <c r="E6" s="892">
        <f>vkm_2011_GW_PW*SUMIFS(TableVerdeelsleutelVkm[LPG],TableVerdeelsleutelVkm[Voertuigtype],"Lichte voertuigen")*SUMIFS(TableECFTransport[EnergieConsumptieFactor (PJ per km)],TableECFTransport[Index],CONCATENATE($A6,"_LPG_LPG"))</f>
        <v>1.3034626557102398E-3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0.33701569110982899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0.10851997849240672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2.2891295777253351E-2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0.26397087974908928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8.0452960231990921E-5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1.5425567625339599E-2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1.2184089694065409E-4</v>
      </c>
      <c r="C8" s="449"/>
      <c r="D8" s="451">
        <f>vkm_2011_NGW_PW*SUMIFS(TableVerdeelsleutelVkm[CNG],TableVerdeelsleutelVkm[Voertuigtype],"Lichte voertuigen")*SUMIFS(TableECFTransport[EnergieConsumptieFactor (PJ per km)],TableECFTransport[Index],CONCATENATE($A8,"_CNG_CNG"))</f>
        <v>6.4977910211649816E-4</v>
      </c>
      <c r="E8" s="451">
        <f>vkm_2011_NGW_PW*SUMIFS(TableVerdeelsleutelVkm[LPG],TableVerdeelsleutelVkm[Voertuigtype],"Lichte voertuigen")*SUMIFS(TableECFTransport[EnergieConsumptieFactor (PJ per km)],TableECFTransport[Index],CONCATENATE($A8,"_LPG_LPG"))</f>
        <v>8.2210314178800118E-4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0.19808173949347027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7.1819371791254055E-2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1.3691408593275819E-2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2.9487699622574099E-2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8.4607206164946346E-6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1.7231461526393268E-3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3.7459382974403194E-4</v>
      </c>
      <c r="C10" s="449"/>
      <c r="D10" s="451">
        <f>vkm_2011_SW_PW*SUMIFS(TableVerdeelsleutelVkm[CNG],TableVerdeelsleutelVkm[Voertuigtype],"Lichte voertuigen")*SUMIFS(TableECFTransport[EnergieConsumptieFactor (PJ per km)],TableECFTransport[Index],CONCATENATE($A10,"_CNG_CNG"))</f>
        <v>1.1752987243672883E-3</v>
      </c>
      <c r="E10" s="451">
        <f>vkm_2011_SW_PW*SUMIFS(TableVerdeelsleutelVkm[LPG],TableVerdeelsleutelVkm[Voertuigtype],"Lichte voertuigen")*SUMIFS(TableECFTransport[EnergieConsumptieFactor (PJ per km)],TableECFTransport[Index],CONCATENATE($A10,"_LPG_LPG"))</f>
        <v>1.9996114985573951E-3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0.46091498093242733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0.13924975996397596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3.1036662954375602E-2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0.68071257499754045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2.2404193202594025E-4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3.9779035074734993E-2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226.25972750856718</v>
      </c>
      <c r="C14" s="21"/>
      <c r="D14" s="21">
        <f t="shared" ref="D14:M14" si="0">((D5)*10^9/3600)+D12</f>
        <v>771.99892515596218</v>
      </c>
      <c r="E14" s="21">
        <f t="shared" si="0"/>
        <v>1145.8825822376766</v>
      </c>
      <c r="F14" s="21"/>
      <c r="G14" s="21">
        <f t="shared" si="0"/>
        <v>547273.21275136957</v>
      </c>
      <c r="H14" s="21">
        <f t="shared" si="0"/>
        <v>88861.684961253108</v>
      </c>
      <c r="I14" s="21"/>
      <c r="J14" s="21"/>
      <c r="K14" s="21"/>
      <c r="L14" s="21"/>
      <c r="M14" s="21">
        <f t="shared" si="0"/>
        <v>34596.42116044963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0.20375328200320592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46.101162065021619</v>
      </c>
      <c r="C18" s="23"/>
      <c r="D18" s="23">
        <f t="shared" ref="D18:M18" si="1">D14*D16</f>
        <v>155.94378288150438</v>
      </c>
      <c r="E18" s="23">
        <f t="shared" si="1"/>
        <v>260.11534616795262</v>
      </c>
      <c r="F18" s="23"/>
      <c r="G18" s="23">
        <f t="shared" si="1"/>
        <v>146121.94780461569</v>
      </c>
      <c r="H18" s="23">
        <f t="shared" si="1"/>
        <v>22126.559555352025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3.6825751844697545E-2</v>
      </c>
      <c r="H50" s="321">
        <f t="shared" si="2"/>
        <v>0</v>
      </c>
      <c r="I50" s="321">
        <f t="shared" si="2"/>
        <v>0</v>
      </c>
      <c r="J50" s="321">
        <f t="shared" si="2"/>
        <v>0</v>
      </c>
      <c r="K50" s="321">
        <f t="shared" si="2"/>
        <v>0</v>
      </c>
      <c r="L50" s="321">
        <f t="shared" si="2"/>
        <v>0</v>
      </c>
      <c r="M50" s="321">
        <f t="shared" si="2"/>
        <v>2.0915401346843828E-3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3.6825751844697545E-2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2.0915401346843828E-3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10229.375512415983</v>
      </c>
      <c r="H54" s="21">
        <f t="shared" si="3"/>
        <v>0</v>
      </c>
      <c r="I54" s="21">
        <f t="shared" si="3"/>
        <v>0</v>
      </c>
      <c r="J54" s="21">
        <f t="shared" si="3"/>
        <v>0</v>
      </c>
      <c r="K54" s="21">
        <f t="shared" si="3"/>
        <v>0</v>
      </c>
      <c r="L54" s="21">
        <f t="shared" si="3"/>
        <v>0</v>
      </c>
      <c r="M54" s="21">
        <f t="shared" si="3"/>
        <v>580.98337074566189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0.20375328200320592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2731.2432618150679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10334.688751527792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21571.620604849864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641.25</v>
      </c>
      <c r="C8" s="570">
        <f>B101</f>
        <v>754.41176470588255</v>
      </c>
      <c r="D8" s="1044"/>
      <c r="E8" s="1044">
        <f>E101</f>
        <v>0</v>
      </c>
      <c r="F8" s="1045"/>
      <c r="G8" s="571"/>
      <c r="H8" s="1044">
        <f>I101</f>
        <v>0</v>
      </c>
      <c r="I8" s="1044">
        <f>G101+F101</f>
        <v>0</v>
      </c>
      <c r="J8" s="1044">
        <f>H101+D101+C101</f>
        <v>0</v>
      </c>
      <c r="K8" s="1044"/>
      <c r="L8" s="1044"/>
      <c r="M8" s="1044"/>
      <c r="N8" s="572"/>
      <c r="O8" s="573">
        <f>C8*$C$12+D8*$D$12+E8*$E$12+F8*$F$12+G8*$G$12+H8*$H$12+I8*$I$12+J8*$J$12</f>
        <v>152.39117647058828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32547.559356377657</v>
      </c>
      <c r="C10" s="583">
        <f t="shared" ref="C10:L10" si="0">SUM(C8:C9)</f>
        <v>754.41176470588255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152.39117647058828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916.07142857142856</v>
      </c>
      <c r="C17" s="595">
        <f>B102</f>
        <v>1077.7310924369749</v>
      </c>
      <c r="D17" s="596"/>
      <c r="E17" s="596">
        <f>E102</f>
        <v>0</v>
      </c>
      <c r="F17" s="1050"/>
      <c r="G17" s="597"/>
      <c r="H17" s="595">
        <f>I102</f>
        <v>0</v>
      </c>
      <c r="I17" s="596">
        <f>G102+F102</f>
        <v>0</v>
      </c>
      <c r="J17" s="596">
        <f>H102+D102+C102</f>
        <v>0</v>
      </c>
      <c r="K17" s="596"/>
      <c r="L17" s="596"/>
      <c r="M17" s="596"/>
      <c r="N17" s="1051"/>
      <c r="O17" s="598">
        <f>C17*$C$22+E17*$E$22+H17*$H$22+I17*$I$22+J17*$J$22+D17*$D$22+F17*$F$22+G17*$G$22+K17*$K$22+L17*$L$22</f>
        <v>217.70168067226894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916.07142857142856</v>
      </c>
      <c r="C20" s="582">
        <f>SUM(C17:C19)</f>
        <v>1077.7310924369749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217.70168067226894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34022</v>
      </c>
      <c r="C28" s="796">
        <v>8500</v>
      </c>
      <c r="D28" s="653" t="s">
        <v>881</v>
      </c>
      <c r="E28" s="652" t="s">
        <v>882</v>
      </c>
      <c r="F28" s="652" t="s">
        <v>883</v>
      </c>
      <c r="G28" s="652" t="s">
        <v>884</v>
      </c>
      <c r="H28" s="652" t="s">
        <v>885</v>
      </c>
      <c r="I28" s="652" t="s">
        <v>882</v>
      </c>
      <c r="J28" s="795">
        <v>39953</v>
      </c>
      <c r="K28" s="795">
        <v>40179</v>
      </c>
      <c r="L28" s="652" t="s">
        <v>886</v>
      </c>
      <c r="M28" s="652">
        <v>142.5</v>
      </c>
      <c r="N28" s="652">
        <v>641.25</v>
      </c>
      <c r="O28" s="652">
        <v>916.07142857142856</v>
      </c>
      <c r="P28" s="652">
        <v>1832.1428571428573</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142.5</v>
      </c>
      <c r="N58" s="610">
        <f>SUM(N28:N57)</f>
        <v>641.25</v>
      </c>
      <c r="O58" s="610">
        <f t="shared" ref="O58:W58" si="2">SUM(O28:O57)</f>
        <v>916.07142857142856</v>
      </c>
      <c r="P58" s="610">
        <f t="shared" si="2"/>
        <v>1832.1428571428573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142.5</v>
      </c>
      <c r="N60" s="610">
        <f ca="1">SUMIF($Z$28:AD57,"tertiair",N28:N57)</f>
        <v>641.25</v>
      </c>
      <c r="O60" s="610">
        <f ca="1">SUMIF($Z$28:AE57,"tertiair",O28:O57)</f>
        <v>916.07142857142856</v>
      </c>
      <c r="P60" s="610">
        <f ca="1">SUMIF($Z$28:AF57,"tertiair",P28:P57)</f>
        <v>1832.1428571428573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754.41176470588255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1077.7310924369749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2019-08-12T08:33:31Z</dcterms:modified>
</cp:coreProperties>
</file>