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L22" s="1"/>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H26" i="14"/>
  <c r="G22"/>
  <c r="R12"/>
  <c r="D5" i="17"/>
  <c r="Q14" i="48" l="1"/>
  <c r="L78" i="14"/>
  <c r="L8" i="61"/>
  <c r="L10" s="1"/>
  <c r="E90" i="14"/>
  <c r="E18" i="61"/>
  <c r="K78" i="14"/>
  <c r="K8" i="61"/>
  <c r="K10" s="1"/>
  <c r="L90" i="14"/>
  <c r="L18" i="61"/>
  <c r="L20" s="1"/>
  <c r="L20" i="18"/>
  <c r="O77" i="14"/>
  <c r="O9" i="61" s="1"/>
  <c r="O10" s="1"/>
  <c r="N20"/>
  <c r="K90" i="14"/>
  <c r="K22"/>
  <c r="N77"/>
  <c r="P27" i="48"/>
  <c r="B10" i="18"/>
  <c r="M77" i="14"/>
  <c r="M9" i="61" s="1"/>
  <c r="H9" i="18"/>
  <c r="O9" s="1"/>
  <c r="E20" i="61"/>
  <c r="C98" i="18"/>
  <c r="B101" s="1"/>
  <c r="C8" s="1"/>
  <c r="G10" i="61"/>
  <c r="P22" i="14"/>
  <c r="E10" i="61"/>
  <c r="B17" i="18"/>
  <c r="B20" s="1"/>
  <c r="F13" i="15"/>
  <c r="O22" i="14"/>
  <c r="G77"/>
  <c r="G9" i="61" s="1"/>
  <c r="H20"/>
  <c r="P25" i="48"/>
  <c r="I77" i="14"/>
  <c r="I9" i="61" s="1"/>
  <c r="L13" i="15"/>
  <c r="B13"/>
  <c r="H90" i="14"/>
  <c r="N13" i="15"/>
  <c r="F77" i="14"/>
  <c r="F9" i="61" s="1"/>
  <c r="I101" i="18"/>
  <c r="H8" s="1"/>
  <c r="E101"/>
  <c r="E8" s="1"/>
  <c r="G101"/>
  <c r="I8" s="1"/>
  <c r="F101"/>
  <c r="D101"/>
  <c r="C10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G78" i="14"/>
  <c r="R9"/>
  <c r="D22"/>
  <c r="E55"/>
  <c r="R25"/>
  <c r="E78"/>
  <c r="O78" l="1"/>
  <c r="H101" i="18"/>
  <c r="H78" i="14"/>
  <c r="H9" i="61"/>
  <c r="H10" s="1"/>
  <c r="N78" i="14"/>
  <c r="N9" i="61"/>
  <c r="N10" s="1"/>
  <c r="O90" i="14"/>
  <c r="O18" i="61"/>
  <c r="O2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78" i="14"/>
  <c r="M8" i="61"/>
  <c r="M1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H5" i="48" l="1"/>
  <c r="I10" i="14"/>
  <c r="I16" s="1"/>
  <c r="G5" i="48"/>
  <c r="H10" i="14"/>
  <c r="H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29"/>
  <c r="D31"/>
  <c r="D32"/>
  <c r="D24"/>
  <c r="L29"/>
  <c r="L32"/>
  <c r="L30"/>
  <c r="L28"/>
  <c r="L27"/>
  <c r="L22"/>
  <c r="L31"/>
  <c r="L24"/>
  <c r="Q10" i="14"/>
  <c r="P5" i="48"/>
  <c r="P23" s="1"/>
  <c r="K32"/>
  <c r="K24"/>
  <c r="K27"/>
  <c r="K26"/>
  <c r="K28"/>
  <c r="K22"/>
  <c r="K29"/>
  <c r="K31"/>
  <c r="K30"/>
  <c r="K25"/>
  <c r="C24" i="14"/>
  <c r="C26" s="1"/>
  <c r="B7" i="48"/>
  <c r="J31"/>
  <c r="J30"/>
  <c r="J32"/>
  <c r="J24"/>
  <c r="J28"/>
  <c r="J29"/>
  <c r="J27"/>
  <c r="Q11" i="14"/>
  <c r="P4" i="48"/>
  <c r="P11" i="14"/>
  <c r="O4" i="48"/>
  <c r="I25"/>
  <c r="I24"/>
  <c r="I31"/>
  <c r="I28"/>
  <c r="I30"/>
  <c r="I22"/>
  <c r="I32"/>
  <c r="I26"/>
  <c r="I27"/>
  <c r="I29"/>
  <c r="D4"/>
  <c r="D22" s="1"/>
  <c r="E11" i="14"/>
  <c r="H29" i="48"/>
  <c r="H32"/>
  <c r="H28"/>
  <c r="H30"/>
  <c r="H22"/>
  <c r="H25"/>
  <c r="H24"/>
  <c r="H26"/>
  <c r="H23"/>
  <c r="C4"/>
  <c r="D11" i="14"/>
  <c r="G23" i="48"/>
  <c r="G30"/>
  <c r="G32"/>
  <c r="G25"/>
  <c r="G26"/>
  <c r="G22"/>
  <c r="G24"/>
  <c r="G29"/>
  <c r="B4"/>
  <c r="C11" i="14"/>
  <c r="F30" i="48"/>
  <c r="F32"/>
  <c r="F31"/>
  <c r="F29"/>
  <c r="F24"/>
  <c r="F28"/>
  <c r="F27"/>
  <c r="N31"/>
  <c r="N24"/>
  <c r="N30"/>
  <c r="N32"/>
  <c r="N29"/>
  <c r="N27"/>
  <c r="N28"/>
  <c r="B10"/>
  <c r="C19" i="14"/>
  <c r="E29" i="48"/>
  <c r="E31"/>
  <c r="E24"/>
  <c r="E30"/>
  <c r="E28"/>
  <c r="E32"/>
  <c r="M29"/>
  <c r="M22"/>
  <c r="M26"/>
  <c r="M25"/>
  <c r="M24"/>
  <c r="M30"/>
  <c r="M3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K23"/>
  <c r="K15"/>
  <c r="H18" i="14"/>
  <c r="G13" i="48"/>
  <c r="G31" s="1"/>
  <c r="E9"/>
  <c r="E27" s="1"/>
  <c r="F20" i="14"/>
  <c r="F22" s="1"/>
  <c r="Q13"/>
  <c r="Q16" s="1"/>
  <c r="Q27" s="1"/>
  <c r="P8" i="48"/>
  <c r="P26" s="1"/>
  <c r="E20" i="14"/>
  <c r="E22" s="1"/>
  <c r="D9" i="48"/>
  <c r="D27" s="1"/>
  <c r="P10" i="14"/>
  <c r="O5" i="48"/>
  <c r="O23" s="1"/>
  <c r="B9"/>
  <c r="C20" i="14"/>
  <c r="C22" s="1"/>
  <c r="J7" i="48"/>
  <c r="J25" s="1"/>
  <c r="K24" i="14"/>
  <c r="K26" s="1"/>
  <c r="P22" i="48"/>
  <c r="P33" s="1"/>
  <c r="G11" i="14"/>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M10" i="48" l="1"/>
  <c r="M28" s="1"/>
  <c r="N19" i="14"/>
  <c r="N22" s="1"/>
  <c r="N27" s="1"/>
  <c r="F11"/>
  <c r="E4" i="48"/>
  <c r="P13" i="14"/>
  <c r="O8" i="48"/>
  <c r="O26" s="1"/>
  <c r="O33" s="1"/>
  <c r="J4"/>
  <c r="K11" i="14"/>
  <c r="O11"/>
  <c r="N4" i="48"/>
  <c r="N22" s="1"/>
  <c r="P16" i="14"/>
  <c r="P27" s="1"/>
  <c r="Q63"/>
  <c r="O15" i="48"/>
  <c r="M14" i="22"/>
  <c r="P15" i="48"/>
  <c r="H19" i="14"/>
  <c r="G10" i="48"/>
  <c r="E7"/>
  <c r="E25" s="1"/>
  <c r="F24" i="14"/>
  <c r="F26" s="1"/>
  <c r="I15" i="48"/>
  <c r="I23"/>
  <c r="I33" s="1"/>
  <c r="I20" i="14"/>
  <c r="I22" s="1"/>
  <c r="I27" s="1"/>
  <c r="H9" i="48"/>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J5" i="48" l="1"/>
  <c r="J23" s="1"/>
  <c r="K10" i="14"/>
  <c r="R19"/>
  <c r="R22" s="1"/>
  <c r="F10"/>
  <c r="E5" i="48"/>
  <c r="E23" s="1"/>
  <c r="G28"/>
  <c r="Q10"/>
  <c r="E22"/>
  <c r="Q4"/>
  <c r="R11" i="14"/>
  <c r="G9" i="48"/>
  <c r="H20" i="14"/>
  <c r="H22" s="1"/>
  <c r="H27" s="1"/>
  <c r="J22" i="48"/>
  <c r="Q7"/>
  <c r="M15"/>
  <c r="M27"/>
  <c r="M33" s="1"/>
  <c r="Q9"/>
  <c r="H15"/>
  <c r="H27"/>
  <c r="H33" s="1"/>
  <c r="N63" i="14"/>
  <c r="R20"/>
  <c r="R24"/>
  <c r="R26" s="1"/>
  <c r="N18" i="16"/>
  <c r="E20" i="15"/>
  <c r="F40" i="14" s="1"/>
  <c r="F18" i="16"/>
  <c r="J18"/>
  <c r="E18"/>
  <c r="G18" i="22"/>
  <c r="H50" i="14" s="1"/>
  <c r="H52" s="1"/>
  <c r="H61" s="1"/>
  <c r="H18" i="22"/>
  <c r="I50" i="14" s="1"/>
  <c r="I52" s="1"/>
  <c r="I61" s="1"/>
  <c r="I63" s="1"/>
  <c r="K16" l="1"/>
  <c r="K27" s="1"/>
  <c r="K63" s="1"/>
  <c r="G27" i="48"/>
  <c r="G33" s="1"/>
  <c r="G15"/>
  <c r="J8"/>
  <c r="K13" i="14"/>
  <c r="F13"/>
  <c r="F16" s="1"/>
  <c r="F27" s="1"/>
  <c r="F63" s="1"/>
  <c r="E8" i="48"/>
  <c r="H63" i="14"/>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<sst xmlns="http://schemas.openxmlformats.org/spreadsheetml/2006/main" count="2428" uniqueCount="905">
  <si>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</si>
  <si>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</si>
  <si>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</si>
  <si>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</si>
  <si>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</si>
  <si>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</si>
  <si>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</si>
  <si>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</si>
  <si>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</si>
  <si>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</si>
  <si>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</si>
  <si>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</si>
  <si>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</si>
  <si>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</si>
  <si>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</si>
  <si>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</si>
  <si>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</si>
  <si>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</si>
  <si>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</si>
  <si>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</si>
  <si>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</si>
  <si>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</si>
  <si>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</si>
  <si>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</si>
  <si>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</si>
  <si>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</si>
  <si>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</si>
  <si>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</si>
  <si>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</si>
  <si>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</si>
  <si>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</si>
  <si>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</si>
  <si>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</si>
  <si>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</si>
  <si>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</si>
  <si>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</si>
  <si>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</si>
  <si>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</si>
  <si>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</si>
  <si>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</si>
  <si>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</si>
  <si>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</si>
  <si>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</si>
  <si>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</si>
  <si>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</si>
  <si>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</si>
  <si>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</si>
  <si>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</si>
  <si>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</si>
  <si>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</si>
  <si>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</si>
  <si>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</si>
  <si>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</si>
  <si>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</si>
  <si>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</si>
  <si>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</si>
  <si>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</si>
  <si>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</si>
  <si>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</si>
  <si>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</si>
  <si>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</si>
  <si>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</si>
  <si>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</si>
  <si>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</si>
  <si>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</si>
  <si>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</si>
  <si>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</si>
  <si>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</si>
  <si>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</si>
  <si>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</si>
  <si>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</si>
  <si>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</si>
  <si>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</si>
  <si>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</si>
  <si>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</si>
  <si>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</si>
  <si>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</si>
  <si>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</si>
  <si>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</si>
  <si>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</si>
  <si>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</si>
  <si>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</si>
  <si>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</si>
  <si>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</si>
  <si>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</si>
  <si>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</si>
  <si>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</si>
  <si>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</si>
  <si>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</si>
  <si>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</si>
  <si>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</si>
  <si>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</si>
  <si>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</si>
  <si>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</si>
  <si>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</si>
  <si>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</si>
  <si>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</si>
  <si>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</si>
  <si>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</si>
  <si>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</si>
  <si>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</si>
  <si>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</si>
  <si>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</si>
  <si>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</si>
  <si>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</si>
  <si>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</si>
  <si>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</si>
  <si>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</si>
  <si>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</si>
  <si>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</si>
  <si>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</si>
  <si>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</si>
  <si>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</si>
  <si>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</si>
  <si>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</si>
  <si>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</si>
  <si>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</si>
  <si>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</si>
  <si>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</si>
  <si>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</si>
  <si>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</si>
  <si>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</si>
  <si>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</si>
  <si>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</si>
  <si>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</si>
  <si>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</si>
  <si>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</si>
  <si>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</si>
  <si>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</si>
  <si>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</si>
  <si>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</si>
  <si>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</si>
  <si>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</si>
  <si>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</si>
  <si>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</si>
  <si>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</si>
  <si>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</si>
  <si>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</si>
  <si>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</si>
  <si>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</si>
  <si>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</si>
  <si>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</si>
  <si>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</si>
  <si>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</si>
  <si>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</si>
  <si>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</si>
  <si>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</si>
  <si>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</si>
  <si>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</si>
  <si>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</si>
  <si>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</si>
  <si>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</si>
  <si>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</si>
  <si>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</si>
  <si>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</si>
  <si>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</si>
  <si>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</si>
  <si>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</si>
  <si>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</si>
  <si>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</si>
  <si>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</si>
  <si>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</si>
  <si>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</si>
  <si>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</si>
  <si>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</si>
  <si>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</si>
  <si>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</si>
  <si>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</si>
  <si>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</si>
  <si>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</si>
  <si>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</si>
  <si>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</si>
  <si>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</si>
  <si>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</si>
  <si>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</si>
  <si>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</si>
  <si>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</si>
  <si>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</si>
  <si>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</si>
  <si>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</si>
  <si>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</si>
  <si>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</si>
  <si>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</si>
  <si>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</si>
  <si>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</si>
  <si>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</si>
  <si>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</si>
  <si>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</si>
  <si>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</si>
  <si>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</si>
  <si>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</si>
  <si>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</si>
  <si>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</si>
  <si>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</si>
  <si>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</si>
  <si>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</si>
  <si>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</si>
  <si>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</si>
  <si>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</si>
  <si>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</si>
  <si>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</si>
  <si>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</si>
  <si>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</si>
  <si>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</si>
  <si>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</si>
  <si>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</si>
  <si>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</si>
  <si>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</si>
  <si>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</si>
  <si>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</si>
  <si>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</si>
  <si>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</si>
  <si>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</si>
  <si>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</si>
  <si>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</si>
  <si>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</si>
  <si>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</si>
  <si>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</si>
  <si>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</si>
  <si>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</si>
  <si>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</si>
  <si>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</si>
  <si>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</si>
  <si>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</si>
  <si>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</si>
  <si>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</si>
  <si>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</si>
  <si>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</si>
  <si>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</si>
  <si>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</si>
  <si>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</si>
  <si>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</si>
  <si>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</si>
  <si>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</si>
  <si>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</si>
  <si>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</si>
  <si>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</si>
  <si>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</si>
  <si>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</si>
  <si>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</si>
  <si>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</si>
  <si>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</si>
  <si>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</si>
  <si>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</si>
  <si>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</si>
  <si>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</si>
  <si>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</si>
  <si>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</si>
  <si>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</si>
  <si>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</si>
  <si>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</si>
  <si>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</si>
  <si>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</si>
  <si>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</si>
  <si>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</si>
  <si>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</si>
  <si>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</si>
  <si>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</si>
  <si>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</si>
  <si>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</si>
  <si>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</si>
  <si>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</si>
  <si>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</si>
  <si>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</si>
  <si>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</si>
  <si>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</si>
  <si>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</si>
  <si>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</si>
  <si>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</si>
  <si>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</si>
  <si>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</si>
  <si>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</si>
  <si>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</si>
  <si>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</si>
  <si>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</si>
  <si>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</si>
  <si>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</si>
  <si>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</si>
  <si>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</si>
  <si>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</si>
  <si>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</si>
  <si>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</si>
  <si>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</si>
  <si>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</si>
  <si>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</si>
  <si>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</si>
  <si>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</si>
  <si>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</si>
  <si>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</si>
  <si>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</si>
  <si>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</si>
  <si>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</si>
  <si>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</si>
  <si>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</si>
  <si>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</si>
  <si>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</si>
  <si>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</si>
  <si>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</si>
  <si>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</si>
  <si>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</si>
  <si>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</si>
  <si>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</si>
  <si>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</si>
  <si>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</si>
  <si>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</si>
  <si>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</si>
  <si>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</si>
  <si>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</si>
  <si>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</si>
  <si>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</si>
  <si>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</si>
  <si>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</si>
  <si>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</si>
  <si>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</si>
  <si>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</si>
  <si>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</si>
  <si>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</si>
  <si>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</si>
  <si>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</si>
  <si>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</si>
  <si>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</si>
  <si>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</si>
  <si>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</si>
  <si>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</si>
  <si>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</si>
  <si>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</si>
  <si>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</si>
  <si>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</si>
  <si>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</si>
  <si>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</si>
  <si>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</si>
  <si>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</si>
  <si>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</si>
  <si>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</si>
  <si>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</si>
  <si>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</si>
  <si>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</si>
  <si>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</si>
  <si>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</si>
  <si>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</si>
  <si>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</si>
  <si>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</si>
  <si>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</si>
  <si>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</si>
  <si>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</si>
  <si>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</si>
  <si>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</si>
  <si>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</si>
  <si>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</si>
  <si>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</si>
  <si>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</si>
  <si>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</si>
  <si>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</si>
  <si>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</si>
  <si>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</si>
  <si>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</si>
  <si>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</si>
  <si>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</si>
  <si>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</si>
  <si>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</si>
  <si>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</si>
  <si>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</si>
  <si>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</si>
  <si>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</si>
  <si>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</si>
  <si>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</si>
  <si>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</si>
  <si>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</si>
  <si>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</si>
  <si>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</si>
  <si>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</si>
  <si>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</si>
  <si>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</si>
  <si>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</si>
  <si>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</si>
  <si>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</si>
  <si>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</si>
  <si>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</si>
  <si>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</si>
  <si>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</si>
  <si>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</si>
  <si>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</si>
  <si>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</si>
  <si>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</si>
  <si>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</si>
  <si>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</si>
  <si>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</si>
  <si>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</si>
  <si>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</si>
  <si>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</si>
  <si>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</si>
  <si>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</si>
  <si>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</si>
  <si>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</si>
  <si>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</si>
  <si>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</si>
  <si>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</si>
  <si>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</si>
  <si>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</si>
  <si>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</si>
  <si>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</si>
  <si>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</si>
  <si>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</si>
  <si>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</si>
  <si>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</si>
  <si>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</si>
  <si>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</si>
  <si>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</si>
  <si>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</si>
  <si>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</si>
  <si>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</si>
  <si>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</si>
  <si>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</si>
  <si>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</si>
  <si>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</si>
  <si>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</si>
  <si>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</si>
  <si>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</si>
  <si>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</si>
  <si>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</si>
  <si>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</si>
  <si>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</si>
  <si>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</si>
  <si>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</si>
  <si>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</si>
  <si>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</si>
  <si>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</si>
  <si>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</si>
  <si>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</si>
  <si>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</si>
  <si>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</si>
  <si>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</si>
  <si>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</si>
  <si>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</si>
  <si>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</si>
  <si>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</si>
  <si>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</si>
  <si>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</si>
  <si>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</si>
  <si>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</si>
  <si>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</si>
  <si>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</si>
  <si>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</si>
  <si>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</si>
  <si>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</si>
  <si>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</si>
  <si>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</si>
  <si>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</si>
  <si>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</si>
  <si>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</si>
  <si>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</si>
  <si>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</si>
  <si>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</si>
  <si>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</si>
  <si>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</si>
  <si>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</si>
  <si>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</si>
  <si>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</si>
  <si>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</si>
  <si>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</si>
  <si>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</si>
  <si>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</si>
  <si>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</si>
  <si>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</si>
  <si>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</si>
  <si>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</si>
  <si>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</si>
  <si>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</si>
  <si>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</si>
  <si>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</si>
  <si>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</si>
  <si>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</si>
  <si>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</si>
  <si>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</si>
  <si>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</si>
  <si>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</si>
  <si>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</si>
  <si>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</si>
  <si>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</si>
  <si>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</si>
  <si>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</si>
  <si>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</si>
  <si>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</si>
  <si>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</si>
  <si>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</si>
  <si>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</si>
  <si>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</si>
  <si>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</si>
  <si>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</si>
  <si>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</si>
  <si>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</si>
  <si>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</si>
  <si>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</si>
  <si>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</si>
  <si>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</si>
  <si>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</si>
  <si>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</si>
  <si>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</si>
  <si>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</si>
  <si>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</si>
  <si>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</si>
  <si>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</si>
  <si>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</si>
  <si>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</si>
  <si>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</si>
  <si>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</si>
  <si>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</si>
  <si>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</si>
  <si>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</si>
  <si>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</si>
  <si>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</si>
  <si>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</si>
  <si>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</si>
  <si>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</si>
  <si>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</si>
  <si>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</si>
  <si>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</si>
  <si>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</si>
  <si>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</si>
  <si>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</si>
  <si>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</si>
  <si>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</si>
  <si>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</si>
  <si>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</si>
  <si>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</si>
  <si>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</si>
  <si>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</si>
  <si>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</si>
  <si>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</si>
  <si>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</si>
  <si>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</si>
  <si>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</si>
  <si>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</si>
  <si>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</si>
  <si>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</si>
  <si>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</si>
  <si>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</si>
  <si>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</si>
  <si>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</si>
  <si>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</si>
  <si>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</si>
  <si>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</si>
  <si>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</si>
  <si>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</si>
  <si>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</si>
  <si>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</si>
  <si>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</si>
  <si>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</si>
  <si>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</si>
  <si>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</si>
  <si>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</si>
  <si>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</si>
  <si>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</si>
  <si>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</si>
  <si>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</si>
  <si>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</si>
  <si>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</si>
  <si>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</si>
  <si>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</si>
  <si>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</si>
  <si>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</si>
  <si>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</si>
  <si>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</si>
  <si>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</si>
  <si>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</si>
  <si>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</si>
  <si>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</si>
  <si>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</si>
  <si>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</si>
  <si>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</si>
  <si>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</si>
  <si>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</si>
  <si>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</si>
  <si>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</si>
  <si>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</si>
  <si>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</si>
  <si>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</si>
  <si>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</si>
  <si>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</si>
  <si>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</si>
  <si>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</si>
  <si>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</si>
  <si>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</si>
  <si>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</si>
  <si>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</si>
  <si>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</si>
  <si>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</si>
  <si>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</si>
  <si>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</si>
  <si>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</si>
  <si>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</si>
  <si>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</si>
  <si>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</si>
  <si>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</si>
  <si>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</si>
  <si>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</si>
  <si>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</si>
  <si>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</si>
  <si>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</si>
  <si>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</si>
  <si>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</si>
  <si>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</si>
  <si>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</si>
  <si>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</si>
  <si>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</si>
  <si>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</si>
  <si>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</si>
  <si>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</si>
  <si>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</si>
  <si>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</si>
  <si>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</si>
  <si>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</si>
  <si>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</si>
  <si>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</si>
  <si>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</si>
  <si>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</si>
  <si>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</si>
  <si>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</si>
  <si>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</si>
  <si>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</si>
  <si>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</si>
  <si>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</si>
  <si>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</si>
  <si>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</si>
  <si>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</si>
  <si>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</si>
  <si>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</si>
  <si>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</si>
  <si>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</si>
  <si>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</si>
  <si>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</si>
  <si>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</si>
  <si>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</si>
  <si>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</si>
  <si>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</si>
  <si>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</si>
  <si>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</si>
  <si>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</si>
  <si>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</si>
  <si>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</si>
  <si>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</si>
  <si>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</si>
  <si>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</si>
  <si>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</si>
  <si>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</si>
  <si>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</si>
  <si>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</si>
  <si>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</si>
  <si>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</si>
  <si>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</si>
  <si>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</si>
  <si>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</si>
  <si>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</si>
  <si>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</si>
  <si>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</si>
  <si>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</si>
  <si>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</si>
  <si>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</si>
  <si>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</si>
  <si>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</si>
  <si>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</si>
  <si>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</si>
  <si>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</si>
  <si>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</si>
  <si>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</si>
  <si>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</si>
  <si>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</si>
  <si>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</si>
  <si>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</si>
  <si>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</si>
  <si>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</si>
  <si>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</si>
  <si>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</si>
  <si>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</si>
  <si>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</si>
  <si>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</si>
  <si>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</si>
  <si>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</si>
  <si>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</si>
  <si>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</si>
  <si>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</si>
  <si>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</si>
  <si>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</si>
  <si>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</si>
  <si>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</si>
  <si>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</si>
  <si>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</si>
  <si>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</si>
  <si>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</si>
  <si>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</si>
  <si>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</si>
  <si>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</si>
  <si>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</si>
  <si>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</si>
  <si>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</si>
  <si>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</si>
  <si>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</si>
  <si>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</si>
  <si>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</si>
  <si>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</si>
  <si>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</si>
  <si>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</si>
  <si>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</si>
  <si>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</si>
  <si>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</si>
  <si>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</si>
  <si>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</si>
  <si>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</si>
  <si>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</si>
  <si>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</si>
  <si>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</si>
  <si>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</si>
  <si>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</si>
  <si>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</si>
  <si>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</si>
  <si>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</si>
  <si>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</si>
  <si>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</si>
  <si>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</si>
  <si>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</si>
  <si>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</si>
  <si>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</si>
  <si>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</si>
  <si>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</si>
  <si>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</si>
  <si>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</si>
  <si>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</si>
  <si>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</si>
  <si>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</si>
  <si>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</si>
  <si>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</si>
  <si>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</si>
  <si>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</si>
  <si>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</si>
  <si>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</si>
  <si>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</si>
  <si>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</si>
  <si>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</si>
  <si>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</si>
  <si>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</si>
  <si>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</si>
  <si>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</si>
  <si>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</si>
  <si>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</si>
  <si>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</si>
  <si>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</si>
  <si>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</si>
  <si>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</si>
  <si>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</si>
  <si>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</si>
  <si>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</si>
  <si>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</si>
  <si>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</si>
  <si>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</si>
  <si>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</si>
  <si>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</si>
  <si>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</si>
  <si>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</si>
  <si>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</si>
  <si>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</si>
  <si>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</si>
  <si>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</si>
  <si>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</si>
  <si>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</si>
  <si>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</si>
  <si>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</si>
  <si>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</si>
  <si>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</si>
  <si>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</si>
  <si>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</si>
  <si>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</si>
  <si>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</si>
  <si>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</si>
  <si>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</si>
  <si>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</si>
  <si>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</si>
  <si>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</si>
  <si>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</si>
  <si>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</si>
  <si>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</si>
  <si>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</si>
  <si>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</si>
  <si>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</si>
  <si>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</si>
  <si>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</si>
  <si>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</si>
  <si>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</si>
  <si>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</si>
  <si>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</si>
  <si>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</si>
  <si>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</si>
  <si>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</si>
  <si>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</si>
  <si>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</si>
  <si>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</si>
  <si>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</si>
  <si>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</si>
  <si>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</si>
  <si>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</si>
  <si>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</si>
  <si>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</si>
  <si>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</si>
  <si>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</si>
  <si>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</si>
  <si>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</si>
  <si>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</si>
  <si>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</si>
  <si>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</si>
  <si>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</si>
  <si>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</si>
  <si>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</si>
  <si>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</si>
  <si>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</si>
  <si>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</si>
  <si>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</si>
  <si>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</si>
  <si>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</si>
  <si>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</si>
  <si>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</si>
  <si>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</si>
  <si>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</si>
  <si>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</si>
  <si>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</si>
  <si>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</si>
  <si>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</si>
  <si>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</si>
  <si>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</si>
  <si>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</si>
  <si>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</si>
  <si>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</si>
  <si>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</si>
  <si>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</si>
  <si>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</si>
  <si>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</si>
  <si>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</si>
  <si>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</si>
  <si>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</si>
  <si>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</si>
  <si>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</si>
  <si>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</si>
  <si>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</si>
  <si>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</si>
  <si>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</si>
  <si>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</si>
  <si>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</si>
  <si>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</si>
  <si>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</si>
  <si>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</si>
  <si>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</si>
  <si>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</si>
  <si>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</si>
  <si>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</si>
  <si>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</si>
  <si>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</si>
  <si>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</si>
  <si>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</si>
  <si>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</si>
  <si>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</si>
  <si>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</si>
  <si>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</si>
  <si>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</si>
  <si>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</si>
  <si>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</si>
  <si>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</si>
  <si>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</si>
  <si>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</si>
  <si>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</si>
  <si>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</si>
  <si>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</si>
  <si>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</si>
  <si>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</si>
  <si>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</si>
  <si>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</si>
  <si>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34013</t>
  </si>
  <si>
    <t>HARELBEKE</t>
  </si>
  <si>
    <t>Eandis (januari 2018); Infrax (juni 2018)</t>
  </si>
  <si>
    <t>MOW (september 2017)</t>
  </si>
  <si>
    <t>referentietaak LNE (2017); Jaarverslag De Lijn (2016)</t>
  </si>
  <si>
    <t>VEA (april 2018)</t>
  </si>
  <si>
    <t>VEA (januari 2017)</t>
  </si>
  <si>
    <t>VEA (juni 2018)</t>
  </si>
  <si>
    <t>Kwekerij Horizon bvba</t>
  </si>
  <si>
    <t>Ginstestraat 44, 8531 Hulste</t>
  </si>
  <si>
    <t>WKK-0155 Horizon nv</t>
  </si>
  <si>
    <t>interne verbrandingsmotor</t>
  </si>
  <si>
    <t>WKK interne verbrandinsgmotor (gas)</t>
  </si>
  <si>
    <t>Infrax West</t>
  </si>
  <si>
    <t>FV Franky &amp; Els Galle Vanackere</t>
  </si>
  <si>
    <t>Veldstraat 1 A, 8770 Ingelmunster</t>
  </si>
  <si>
    <t>WKK-0300 Groeikracht Bavikhove</t>
  </si>
  <si>
    <t>Eerste Aardstraat 30 A, 8531 Bavikhove</t>
  </si>
  <si>
    <t>Aspiravi nv</t>
  </si>
  <si>
    <t>Vaarnewijkstraat 18, 8530 Harelbeke</t>
  </si>
  <si>
    <t>WKK-0094 Agristo</t>
  </si>
  <si>
    <t>Vaarnewijkstraat 17 , 8530 Harelbeke</t>
  </si>
  <si>
    <t>OCMW Harelbeke</t>
  </si>
  <si>
    <t>Paretteplein 19 , 8530 Harelbeke</t>
  </si>
  <si>
    <t>WKK-0564 OCMW Harelbeke</t>
  </si>
  <si>
    <t>Vrijdomkaai 31 , 8530 Harelbeke</t>
  </si>
  <si>
    <t>Aquafin NV</t>
  </si>
  <si>
    <t>Dijkstraat 8 , 2630 Aartselaar</t>
  </si>
  <si>
    <t>BGS-0056 RWZI Harelbeke</t>
  </si>
  <si>
    <t>biogas - RWZI</t>
  </si>
  <si>
    <t>niet WKK interne verbrandingsmotor (gas)</t>
  </si>
  <si>
    <t>Kortrijksesteenweg 266 , 8530 Harelbeke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</si>
</sst>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181987.17701719629</c:v>
                </c:pt>
                <c:pt idx="1">
                  <c:v>180879.49316277972</c:v>
                </c:pt>
                <c:pt idx="2">
                  <c:v>2280.6689999999999</c:v>
                </c:pt>
                <c:pt idx="3">
                  <c:v>40325.143669412733</c:v>
                </c:pt>
                <c:pt idx="4">
                  <c:v>155994.5326262353</c:v>
                </c:pt>
                <c:pt idx="5">
                  <c:v>195767.5457195536</c:v>
                </c:pt>
                <c:pt idx="6">
                  <c:v>1461.2042007788709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181987.17701719629</c:v>
                </c:pt>
                <c:pt idx="1">
                  <c:v>180879.49316277972</c:v>
                </c:pt>
                <c:pt idx="2">
                  <c:v>2280.6689999999999</c:v>
                </c:pt>
                <c:pt idx="3">
                  <c:v>40325.143669412733</c:v>
                </c:pt>
                <c:pt idx="4">
                  <c:v>155994.5326262353</c:v>
                </c:pt>
                <c:pt idx="5">
                  <c:v>195767.5457195536</c:v>
                </c:pt>
                <c:pt idx="6">
                  <c:v>1461.2042007788709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31212.465708121843</c:v>
                </c:pt>
                <c:pt idx="2">
                  <c:v>34476.09670200821</c:v>
                </c:pt>
                <c:pt idx="3">
                  <c:v>407.49226955069099</c:v>
                </c:pt>
                <c:pt idx="4">
                  <c:v>8917.5041062335367</c:v>
                </c:pt>
                <c:pt idx="5">
                  <c:v>27697.100108686202</c:v>
                </c:pt>
                <c:pt idx="6">
                  <c:v>49070.001878428826</c:v>
                </c:pt>
                <c:pt idx="7">
                  <c:v>369.17406449192418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41344"/>
        <c:axId val="183267712"/>
      </c:barChart>
      <c:catAx>
        <c:axId val="183241344"/>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413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31212.465708121843</c:v>
                </c:pt>
                <c:pt idx="2">
                  <c:v>34476.09670200821</c:v>
                </c:pt>
                <c:pt idx="3">
                  <c:v>407.49226955069099</c:v>
                </c:pt>
                <c:pt idx="4">
                  <c:v>8917.5041062335367</c:v>
                </c:pt>
                <c:pt idx="5">
                  <c:v>27697.100108686202</c:v>
                </c:pt>
                <c:pt idx="6">
                  <c:v>49070.001878428826</c:v>
                </c:pt>
                <c:pt idx="7">
                  <c:v>369.17406449192418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34013</v>
      </c>
      <c r="B6" s="415"/>
      <c r="C6" s="416"/>
    </row>
    <row r="7" spans="1:7" s="413" customFormat="1" ht="15.75" customHeight="1">
      <c r="A7" s="417" t="str">
        <f>txtMunicipality</f>
        <v>HARELBEKE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0.1786722534268195</v>
      </c>
      <c r="C17" s="524">
        <f ca="1">'EF ele_warmte'!B22</f>
        <v>0.21027916892684595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0.1786722534268195</v>
      </c>
      <c r="C29" s="525">
        <f ca="1">'EF ele_warmte'!B22</f>
        <v>0.21027916892684595</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34013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11884</v>
      </c>
      <c r="C9" s="342">
        <v>11608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1136.28</v>
      </c>
    </row>
    <row r="15" spans="1:6">
      <c r="A15" s="348" t="s">
        <v>184</v>
      </c>
      <c r="B15" s="334">
        <v>12</v>
      </c>
    </row>
    <row r="16" spans="1:6">
      <c r="A16" s="348" t="s">
        <v>6</v>
      </c>
      <c r="B16" s="334">
        <v>417</v>
      </c>
    </row>
    <row r="17" spans="1:6">
      <c r="A17" s="348" t="s">
        <v>7</v>
      </c>
      <c r="B17" s="334">
        <v>413</v>
      </c>
    </row>
    <row r="18" spans="1:6">
      <c r="A18" s="348" t="s">
        <v>8</v>
      </c>
      <c r="B18" s="334">
        <v>567</v>
      </c>
    </row>
    <row r="19" spans="1:6">
      <c r="A19" s="348" t="s">
        <v>9</v>
      </c>
      <c r="B19" s="334">
        <v>613</v>
      </c>
    </row>
    <row r="20" spans="1:6">
      <c r="A20" s="348" t="s">
        <v>10</v>
      </c>
      <c r="B20" s="334">
        <v>531</v>
      </c>
    </row>
    <row r="21" spans="1:6">
      <c r="A21" s="348" t="s">
        <v>11</v>
      </c>
      <c r="B21" s="334">
        <v>1888</v>
      </c>
    </row>
    <row r="22" spans="1:6">
      <c r="A22" s="348" t="s">
        <v>12</v>
      </c>
      <c r="B22" s="334">
        <v>7314</v>
      </c>
    </row>
    <row r="23" spans="1:6">
      <c r="A23" s="348" t="s">
        <v>13</v>
      </c>
      <c r="B23" s="334">
        <v>96</v>
      </c>
    </row>
    <row r="24" spans="1:6">
      <c r="A24" s="348" t="s">
        <v>14</v>
      </c>
      <c r="B24" s="334">
        <v>4</v>
      </c>
    </row>
    <row r="25" spans="1:6">
      <c r="A25" s="348" t="s">
        <v>15</v>
      </c>
      <c r="B25" s="334">
        <v>410</v>
      </c>
    </row>
    <row r="26" spans="1:6">
      <c r="A26" s="348" t="s">
        <v>16</v>
      </c>
      <c r="B26" s="334">
        <v>88</v>
      </c>
    </row>
    <row r="27" spans="1:6">
      <c r="A27" s="348" t="s">
        <v>17</v>
      </c>
      <c r="B27" s="334">
        <v>500</v>
      </c>
    </row>
    <row r="28" spans="1:6" s="356" customFormat="1">
      <c r="A28" s="355" t="s">
        <v>18</v>
      </c>
      <c r="B28" s="355">
        <v>128173</v>
      </c>
    </row>
    <row r="29" spans="1:6">
      <c r="A29" s="355" t="s">
        <v>744</v>
      </c>
      <c r="B29" s="355">
        <v>56</v>
      </c>
      <c r="C29" s="356"/>
      <c r="D29" s="356"/>
      <c r="E29" s="356"/>
      <c r="F29" s="356"/>
    </row>
    <row r="30" spans="1:6">
      <c r="A30" s="341" t="s">
        <v>745</v>
      </c>
      <c r="B30" s="341">
        <v>17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4</v>
      </c>
      <c r="D35" s="334">
        <v>1062904</v>
      </c>
      <c r="E35" s="334">
        <v>0</v>
      </c>
      <c r="F35" s="334">
        <v>0</v>
      </c>
    </row>
    <row r="36" spans="1:6">
      <c r="A36" s="348" t="s">
        <v>25</v>
      </c>
      <c r="B36" s="348" t="s">
        <v>27</v>
      </c>
      <c r="C36" s="334">
        <v>4</v>
      </c>
      <c r="D36" s="334">
        <v>518672</v>
      </c>
      <c r="E36" s="334">
        <v>13</v>
      </c>
      <c r="F36" s="334">
        <v>142253.11499999999</v>
      </c>
    </row>
    <row r="37" spans="1:6">
      <c r="A37" s="348" t="s">
        <v>25</v>
      </c>
      <c r="B37" s="348" t="s">
        <v>28</v>
      </c>
      <c r="C37" s="334">
        <v>0</v>
      </c>
      <c r="D37" s="334">
        <v>0</v>
      </c>
      <c r="E37" s="334">
        <v>0</v>
      </c>
      <c r="F37" s="334">
        <v>0</v>
      </c>
    </row>
    <row r="38" spans="1:6">
      <c r="A38" s="348" t="s">
        <v>25</v>
      </c>
      <c r="B38" s="348" t="s">
        <v>29</v>
      </c>
      <c r="C38" s="334">
        <v>0</v>
      </c>
      <c r="D38" s="334">
        <v>0</v>
      </c>
      <c r="E38" s="334">
        <v>1</v>
      </c>
      <c r="F38" s="334">
        <v>78358</v>
      </c>
    </row>
    <row r="39" spans="1:6">
      <c r="A39" s="348" t="s">
        <v>30</v>
      </c>
      <c r="B39" s="348" t="s">
        <v>31</v>
      </c>
      <c r="C39" s="334">
        <v>9045</v>
      </c>
      <c r="D39" s="334">
        <v>122031535.97803652</v>
      </c>
      <c r="E39" s="334">
        <v>11661</v>
      </c>
      <c r="F39" s="334">
        <v>37172597.611000001</v>
      </c>
    </row>
    <row r="40" spans="1:6">
      <c r="A40" s="348" t="s">
        <v>30</v>
      </c>
      <c r="B40" s="348" t="s">
        <v>29</v>
      </c>
      <c r="C40" s="334">
        <v>0</v>
      </c>
      <c r="D40" s="334">
        <v>0</v>
      </c>
      <c r="E40" s="334">
        <v>0</v>
      </c>
      <c r="F40" s="334">
        <v>0</v>
      </c>
    </row>
    <row r="41" spans="1:6">
      <c r="A41" s="348" t="s">
        <v>32</v>
      </c>
      <c r="B41" s="348" t="s">
        <v>33</v>
      </c>
      <c r="C41" s="334">
        <v>190</v>
      </c>
      <c r="D41" s="334">
        <v>7312239.8279999997</v>
      </c>
      <c r="E41" s="334">
        <v>369</v>
      </c>
      <c r="F41" s="334">
        <v>9705806.4839999992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26</v>
      </c>
      <c r="D44" s="334">
        <v>3788977.4</v>
      </c>
      <c r="E44" s="334">
        <v>63</v>
      </c>
      <c r="F44" s="334">
        <v>4855239.7510000002</v>
      </c>
    </row>
    <row r="45" spans="1:6">
      <c r="A45" s="348" t="s">
        <v>32</v>
      </c>
      <c r="B45" s="348" t="s">
        <v>37</v>
      </c>
      <c r="C45" s="334">
        <v>3</v>
      </c>
      <c r="D45" s="334">
        <v>4389584.5</v>
      </c>
      <c r="E45" s="334">
        <v>6</v>
      </c>
      <c r="F45" s="334">
        <v>3133697.4440000001</v>
      </c>
    </row>
    <row r="46" spans="1:6">
      <c r="A46" s="348" t="s">
        <v>32</v>
      </c>
      <c r="B46" s="348" t="s">
        <v>38</v>
      </c>
      <c r="C46" s="334">
        <v>0</v>
      </c>
      <c r="D46" s="334">
        <v>0</v>
      </c>
      <c r="E46" s="334">
        <v>0</v>
      </c>
      <c r="F46" s="334">
        <v>0</v>
      </c>
    </row>
    <row r="47" spans="1:6">
      <c r="A47" s="348" t="s">
        <v>32</v>
      </c>
      <c r="B47" s="348" t="s">
        <v>39</v>
      </c>
      <c r="C47" s="334">
        <v>14</v>
      </c>
      <c r="D47" s="334">
        <v>6394423.1940000001</v>
      </c>
      <c r="E47" s="334">
        <v>19</v>
      </c>
      <c r="F47" s="334">
        <v>4214029.6950000003</v>
      </c>
    </row>
    <row r="48" spans="1:6">
      <c r="A48" s="348" t="s">
        <v>32</v>
      </c>
      <c r="B48" s="348" t="s">
        <v>29</v>
      </c>
      <c r="C48" s="334">
        <v>0</v>
      </c>
      <c r="D48" s="334">
        <v>0</v>
      </c>
      <c r="E48" s="334">
        <v>3</v>
      </c>
      <c r="F48" s="334">
        <v>29689</v>
      </c>
    </row>
    <row r="49" spans="1:6">
      <c r="A49" s="348" t="s">
        <v>32</v>
      </c>
      <c r="B49" s="348" t="s">
        <v>40</v>
      </c>
      <c r="C49" s="334">
        <v>18</v>
      </c>
      <c r="D49" s="334">
        <v>52163011.642999999</v>
      </c>
      <c r="E49" s="334">
        <v>27</v>
      </c>
      <c r="F49" s="334">
        <v>20437115</v>
      </c>
    </row>
    <row r="50" spans="1:6">
      <c r="A50" s="348" t="s">
        <v>32</v>
      </c>
      <c r="B50" s="348" t="s">
        <v>41</v>
      </c>
      <c r="C50" s="334">
        <v>23</v>
      </c>
      <c r="D50" s="334">
        <v>10988418.164999999</v>
      </c>
      <c r="E50" s="334">
        <v>35</v>
      </c>
      <c r="F50" s="334">
        <v>4422525.0590000004</v>
      </c>
    </row>
    <row r="51" spans="1:6">
      <c r="A51" s="348" t="s">
        <v>42</v>
      </c>
      <c r="B51" s="348" t="s">
        <v>43</v>
      </c>
      <c r="C51" s="334">
        <v>20</v>
      </c>
      <c r="D51" s="334">
        <v>41635141</v>
      </c>
      <c r="E51" s="334">
        <v>66</v>
      </c>
      <c r="F51" s="334">
        <v>1937882.683</v>
      </c>
    </row>
    <row r="52" spans="1:6">
      <c r="A52" s="348" t="s">
        <v>42</v>
      </c>
      <c r="B52" s="348" t="s">
        <v>29</v>
      </c>
      <c r="C52" s="334">
        <v>0</v>
      </c>
      <c r="D52" s="334">
        <v>0</v>
      </c>
      <c r="E52" s="334">
        <v>0</v>
      </c>
      <c r="F52" s="334">
        <v>0</v>
      </c>
    </row>
    <row r="53" spans="1:6">
      <c r="A53" s="348" t="s">
        <v>44</v>
      </c>
      <c r="B53" s="348" t="s">
        <v>45</v>
      </c>
      <c r="C53" s="334">
        <v>116</v>
      </c>
      <c r="D53" s="334">
        <v>3926385.7349999999</v>
      </c>
      <c r="E53" s="334">
        <v>258</v>
      </c>
      <c r="F53" s="334">
        <v>1083762.8529999999</v>
      </c>
    </row>
    <row r="54" spans="1:6">
      <c r="A54" s="348" t="s">
        <v>46</v>
      </c>
      <c r="B54" s="348" t="s">
        <v>47</v>
      </c>
      <c r="C54" s="334">
        <v>0</v>
      </c>
      <c r="D54" s="334">
        <v>0</v>
      </c>
      <c r="E54" s="334">
        <v>1</v>
      </c>
      <c r="F54" s="334">
        <v>2280669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106</v>
      </c>
      <c r="D57" s="334">
        <v>9939305.4000000004</v>
      </c>
      <c r="E57" s="334">
        <v>194</v>
      </c>
      <c r="F57" s="334">
        <v>12575850.707</v>
      </c>
    </row>
    <row r="58" spans="1:6">
      <c r="A58" s="348" t="s">
        <v>49</v>
      </c>
      <c r="B58" s="348" t="s">
        <v>51</v>
      </c>
      <c r="C58" s="334">
        <v>36</v>
      </c>
      <c r="D58" s="334">
        <v>1261131</v>
      </c>
      <c r="E58" s="334">
        <v>57</v>
      </c>
      <c r="F58" s="334">
        <v>592876</v>
      </c>
    </row>
    <row r="59" spans="1:6">
      <c r="A59" s="348" t="s">
        <v>49</v>
      </c>
      <c r="B59" s="348" t="s">
        <v>52</v>
      </c>
      <c r="C59" s="334">
        <v>253</v>
      </c>
      <c r="D59" s="334">
        <v>79193142.549999997</v>
      </c>
      <c r="E59" s="334">
        <v>424</v>
      </c>
      <c r="F59" s="334">
        <v>38308078.858000003</v>
      </c>
    </row>
    <row r="60" spans="1:6">
      <c r="A60" s="348" t="s">
        <v>49</v>
      </c>
      <c r="B60" s="348" t="s">
        <v>53</v>
      </c>
      <c r="C60" s="334">
        <v>78</v>
      </c>
      <c r="D60" s="334">
        <v>4180064.75</v>
      </c>
      <c r="E60" s="334">
        <v>103</v>
      </c>
      <c r="F60" s="334">
        <v>2296290.6940000001</v>
      </c>
    </row>
    <row r="61" spans="1:6">
      <c r="A61" s="348" t="s">
        <v>49</v>
      </c>
      <c r="B61" s="348" t="s">
        <v>54</v>
      </c>
      <c r="C61" s="334">
        <v>296</v>
      </c>
      <c r="D61" s="334">
        <v>12186218.478</v>
      </c>
      <c r="E61" s="334">
        <v>498</v>
      </c>
      <c r="F61" s="334">
        <v>7374188.3729999997</v>
      </c>
    </row>
    <row r="62" spans="1:6">
      <c r="A62" s="348" t="s">
        <v>49</v>
      </c>
      <c r="B62" s="348" t="s">
        <v>55</v>
      </c>
      <c r="C62" s="334">
        <v>17</v>
      </c>
      <c r="D62" s="334">
        <v>1089616</v>
      </c>
      <c r="E62" s="334">
        <v>24</v>
      </c>
      <c r="F62" s="334">
        <v>386902.15899999999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3</v>
      </c>
      <c r="D65" s="334">
        <v>72955</v>
      </c>
      <c r="E65" s="334">
        <v>2</v>
      </c>
      <c r="F65" s="334">
        <v>5360</v>
      </c>
    </row>
    <row r="66" spans="1:6">
      <c r="A66" s="348" t="s">
        <v>56</v>
      </c>
      <c r="B66" s="348" t="s">
        <v>58</v>
      </c>
      <c r="C66" s="334">
        <v>0</v>
      </c>
      <c r="D66" s="334">
        <v>0</v>
      </c>
      <c r="E66" s="334">
        <v>21</v>
      </c>
      <c r="F66" s="334">
        <v>612704.12800000003</v>
      </c>
    </row>
    <row r="67" spans="1:6">
      <c r="A67" s="355" t="s">
        <v>56</v>
      </c>
      <c r="B67" s="355" t="s">
        <v>59</v>
      </c>
      <c r="C67" s="334">
        <v>0</v>
      </c>
      <c r="D67" s="334">
        <v>0</v>
      </c>
      <c r="E67" s="334">
        <v>0</v>
      </c>
      <c r="F67" s="334">
        <v>0</v>
      </c>
    </row>
    <row r="68" spans="1:6">
      <c r="A68" s="341" t="s">
        <v>56</v>
      </c>
      <c r="B68" s="341" t="s">
        <v>60</v>
      </c>
      <c r="C68" s="334">
        <v>7</v>
      </c>
      <c r="D68" s="334">
        <v>137821</v>
      </c>
      <c r="E68" s="334">
        <v>20</v>
      </c>
      <c r="F68" s="334">
        <v>176746</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56626011</v>
      </c>
      <c r="E73" s="475">
        <v>66159082.633877918</v>
      </c>
    </row>
    <row r="74" spans="1:6">
      <c r="A74" s="348" t="s">
        <v>64</v>
      </c>
      <c r="B74" s="348" t="s">
        <v>657</v>
      </c>
      <c r="C74" s="1295" t="s">
        <v>659</v>
      </c>
      <c r="D74" s="475">
        <v>7523334.5</v>
      </c>
      <c r="E74" s="475">
        <v>8279919.3679853212</v>
      </c>
    </row>
    <row r="75" spans="1:6">
      <c r="A75" s="348" t="s">
        <v>65</v>
      </c>
      <c r="B75" s="348" t="s">
        <v>656</v>
      </c>
      <c r="C75" s="1295" t="s">
        <v>660</v>
      </c>
      <c r="D75" s="475">
        <v>35314710</v>
      </c>
      <c r="E75" s="475">
        <v>48448621.592606574</v>
      </c>
    </row>
    <row r="76" spans="1:6">
      <c r="A76" s="348" t="s">
        <v>65</v>
      </c>
      <c r="B76" s="348" t="s">
        <v>657</v>
      </c>
      <c r="C76" s="1295" t="s">
        <v>661</v>
      </c>
      <c r="D76" s="475">
        <v>2629138.5</v>
      </c>
      <c r="E76" s="475">
        <v>2898209.3977296893</v>
      </c>
    </row>
    <row r="77" spans="1:6">
      <c r="A77" s="348" t="s">
        <v>66</v>
      </c>
      <c r="B77" s="348" t="s">
        <v>656</v>
      </c>
      <c r="C77" s="1295" t="s">
        <v>662</v>
      </c>
      <c r="D77" s="475">
        <v>76598324</v>
      </c>
      <c r="E77" s="475">
        <v>82623082.869549736</v>
      </c>
    </row>
    <row r="78" spans="1:6">
      <c r="A78" s="341" t="s">
        <v>66</v>
      </c>
      <c r="B78" s="341" t="s">
        <v>657</v>
      </c>
      <c r="C78" s="341" t="s">
        <v>663</v>
      </c>
      <c r="D78" s="1296">
        <v>18680801</v>
      </c>
      <c r="E78" s="1296">
        <v>19318076.508606836</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396303</v>
      </c>
      <c r="C83" s="475">
        <v>395971.02595365379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10506.933564053257</v>
      </c>
    </row>
    <row r="91" spans="1:6">
      <c r="A91" s="348" t="s">
        <v>68</v>
      </c>
      <c r="B91" s="334">
        <v>4866.0393762898611</v>
      </c>
    </row>
    <row r="92" spans="1:6">
      <c r="A92" s="341" t="s">
        <v>69</v>
      </c>
      <c r="B92" s="342">
        <v>12353.470150811112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6352</v>
      </c>
    </row>
    <row r="98" spans="1:6">
      <c r="A98" s="348" t="s">
        <v>72</v>
      </c>
      <c r="B98" s="334">
        <v>0</v>
      </c>
    </row>
    <row r="99" spans="1:6">
      <c r="A99" s="348" t="s">
        <v>73</v>
      </c>
      <c r="B99" s="334">
        <v>112</v>
      </c>
    </row>
    <row r="100" spans="1:6">
      <c r="A100" s="348" t="s">
        <v>74</v>
      </c>
      <c r="B100" s="334">
        <v>800</v>
      </c>
    </row>
    <row r="101" spans="1:6">
      <c r="A101" s="348" t="s">
        <v>75</v>
      </c>
      <c r="B101" s="334">
        <v>112</v>
      </c>
    </row>
    <row r="102" spans="1:6">
      <c r="A102" s="348" t="s">
        <v>76</v>
      </c>
      <c r="B102" s="334">
        <v>177</v>
      </c>
    </row>
    <row r="103" spans="1:6">
      <c r="A103" s="348" t="s">
        <v>77</v>
      </c>
      <c r="B103" s="334">
        <v>204</v>
      </c>
    </row>
    <row r="104" spans="1:6">
      <c r="A104" s="348" t="s">
        <v>78</v>
      </c>
      <c r="B104" s="334">
        <v>2528</v>
      </c>
    </row>
    <row r="105" spans="1:6">
      <c r="A105" s="341" t="s">
        <v>79</v>
      </c>
      <c r="B105" s="341">
        <v>10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3</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31</v>
      </c>
      <c r="C123" s="334">
        <v>65</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228</v>
      </c>
    </row>
    <row r="130" spans="1:6">
      <c r="A130" s="348" t="s">
        <v>295</v>
      </c>
      <c r="B130" s="334">
        <v>3</v>
      </c>
    </row>
    <row r="131" spans="1:6">
      <c r="A131" s="348" t="s">
        <v>296</v>
      </c>
      <c r="B131" s="334">
        <v>6</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157080.54456604205</v>
      </c>
      <c r="C3" s="43" t="s">
        <v>170</v>
      </c>
      <c r="D3" s="43"/>
      <c r="E3" s="154"/>
      <c r="F3" s="43"/>
      <c r="G3" s="43"/>
      <c r="H3" s="43"/>
      <c r="I3" s="43"/>
      <c r="J3" s="43"/>
      <c r="K3" s="96"/>
    </row>
    <row r="4" spans="1:11">
      <c r="A4" s="383" t="s">
        <v>171</v>
      </c>
      <c r="B4" s="49">
        <f>IF(ISERROR('SEAP template'!B78+'SEAP template'!C78),0,'SEAP template'!B78+'SEAP template'!C78)</f>
        <v>50050.943091154229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4412.3929411764711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0.1786722534268195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6303.4184873949598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29976.428571428572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0.21027916892684595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2280.6689999999999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2280.6689999999999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0.1786722534268195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407.49226955069099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37172.597611000005</v>
      </c>
      <c r="C5" s="17">
        <f>IF(ISERROR('Eigen informatie GS &amp; warmtenet'!B57),0,'Eigen informatie GS &amp; warmtenet'!B57)</f>
        <v>0</v>
      </c>
      <c r="D5" s="30">
        <f>(SUM(HH_hh_gas_kWh,HH_rest_gas_kWh)/1000)*0.902</f>
        <v>110072.44545218894</v>
      </c>
      <c r="E5" s="17">
        <f>B46*B57</f>
        <v>6461.2058381874367</v>
      </c>
      <c r="F5" s="17">
        <f>B51*B62</f>
        <v>0</v>
      </c>
      <c r="G5" s="18"/>
      <c r="H5" s="17"/>
      <c r="I5" s="17"/>
      <c r="J5" s="17">
        <f>B50*B61+C50*C61</f>
        <v>0</v>
      </c>
      <c r="K5" s="17"/>
      <c r="L5" s="17"/>
      <c r="M5" s="17"/>
      <c r="N5" s="17">
        <f>B48*B59+C48*C59</f>
        <v>22019.438739530073</v>
      </c>
      <c r="O5" s="17">
        <f>B69*B70*B71</f>
        <v>461.18333333333334</v>
      </c>
      <c r="P5" s="17">
        <f>B77*B78*B79/1000-B77*B78*B79/1000/B80</f>
        <v>934.26666666666665</v>
      </c>
    </row>
    <row r="6" spans="1:16">
      <c r="A6" s="16" t="s">
        <v>621</v>
      </c>
      <c r="B6" s="788">
        <f>kWh_PV_kleiner_dan_10kW</f>
        <v>4866.0393762898611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42038.636987289865</v>
      </c>
      <c r="C8" s="21">
        <f>C5</f>
        <v>0</v>
      </c>
      <c r="D8" s="21">
        <f>D5</f>
        <v>110072.44545218894</v>
      </c>
      <c r="E8" s="21">
        <f>E5</f>
        <v>6461.2058381874367</v>
      </c>
      <c r="F8" s="21">
        <f>F5</f>
        <v>0</v>
      </c>
      <c r="G8" s="21"/>
      <c r="H8" s="21"/>
      <c r="I8" s="21"/>
      <c r="J8" s="21">
        <f>J5</f>
        <v>0</v>
      </c>
      <c r="K8" s="21"/>
      <c r="L8" s="21">
        <f>L5</f>
        <v>0</v>
      </c>
      <c r="M8" s="21">
        <f>M5</f>
        <v>0</v>
      </c>
      <c r="N8" s="21">
        <f>N5</f>
        <v>22019.438739530073</v>
      </c>
      <c r="O8" s="21">
        <f>O5</f>
        <v>461.18333333333334</v>
      </c>
      <c r="P8" s="21">
        <f>P5</f>
        <v>934.26666666666665</v>
      </c>
    </row>
    <row r="9" spans="1:16">
      <c r="B9" s="19"/>
      <c r="C9" s="19"/>
      <c r="D9" s="258"/>
      <c r="E9" s="19"/>
      <c r="F9" s="19"/>
      <c r="G9" s="19"/>
      <c r="H9" s="19"/>
      <c r="I9" s="19"/>
      <c r="J9" s="19"/>
      <c r="K9" s="19"/>
      <c r="L9" s="19"/>
      <c r="M9" s="19"/>
      <c r="N9" s="19"/>
      <c r="O9" s="19"/>
      <c r="P9" s="19"/>
    </row>
    <row r="10" spans="1:16">
      <c r="A10" s="24" t="s">
        <v>214</v>
      </c>
      <c r="B10" s="25">
        <f ca="1">'EF ele_warmte'!B12</f>
        <v>0.1786722534268195</v>
      </c>
      <c r="C10" s="25">
        <f ca="1">'EF ele_warmte'!B22</f>
        <v>0.21027916892684595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7511.1380015111226</v>
      </c>
      <c r="C12" s="23">
        <f ca="1">C10*C8</f>
        <v>0</v>
      </c>
      <c r="D12" s="23">
        <f>D8*D10</f>
        <v>22234.633981342169</v>
      </c>
      <c r="E12" s="23">
        <f>E10*E8</f>
        <v>1466.6937252685482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6352</v>
      </c>
      <c r="C18" s="166" t="s">
        <v>111</v>
      </c>
      <c r="D18" s="228"/>
      <c r="E18" s="15"/>
    </row>
    <row r="19" spans="1:7">
      <c r="A19" s="171" t="s">
        <v>72</v>
      </c>
      <c r="B19" s="37">
        <f>aantalw2001_ander</f>
        <v>0</v>
      </c>
      <c r="C19" s="166" t="s">
        <v>111</v>
      </c>
      <c r="D19" s="229"/>
      <c r="E19" s="15"/>
    </row>
    <row r="20" spans="1:7">
      <c r="A20" s="171" t="s">
        <v>73</v>
      </c>
      <c r="B20" s="37">
        <f>aantalw2001_propaan</f>
        <v>112</v>
      </c>
      <c r="C20" s="167">
        <f>IF(ISERROR(B20/SUM($B$20,$B$21,$B$22)*100),0,B20/SUM($B$20,$B$21,$B$22)*100)</f>
        <v>10.9375</v>
      </c>
      <c r="D20" s="229"/>
      <c r="E20" s="15"/>
    </row>
    <row r="21" spans="1:7">
      <c r="A21" s="171" t="s">
        <v>74</v>
      </c>
      <c r="B21" s="37">
        <f>aantalw2001_elektriciteit</f>
        <v>800</v>
      </c>
      <c r="C21" s="167">
        <f>IF(ISERROR(B21/SUM($B$20,$B$21,$B$22)*100),0,B21/SUM($B$20,$B$21,$B$22)*100)</f>
        <v>78.125</v>
      </c>
      <c r="D21" s="229"/>
      <c r="E21" s="15"/>
    </row>
    <row r="22" spans="1:7">
      <c r="A22" s="171" t="s">
        <v>75</v>
      </c>
      <c r="B22" s="37">
        <f>aantalw2001_hout</f>
        <v>112</v>
      </c>
      <c r="C22" s="167">
        <f>IF(ISERROR(B22/SUM($B$20,$B$21,$B$22)*100),0,B22/SUM($B$20,$B$21,$B$22)*100)</f>
        <v>10.9375</v>
      </c>
      <c r="D22" s="229"/>
      <c r="E22" s="15"/>
    </row>
    <row r="23" spans="1:7">
      <c r="A23" s="171" t="s">
        <v>76</v>
      </c>
      <c r="B23" s="37">
        <f>aantalw2001_niet_gespec</f>
        <v>177</v>
      </c>
      <c r="C23" s="166" t="s">
        <v>111</v>
      </c>
      <c r="D23" s="228"/>
      <c r="E23" s="15"/>
    </row>
    <row r="24" spans="1:7">
      <c r="A24" s="171" t="s">
        <v>77</v>
      </c>
      <c r="B24" s="37">
        <f>aantalw2001_steenkool</f>
        <v>204</v>
      </c>
      <c r="C24" s="166" t="s">
        <v>111</v>
      </c>
      <c r="D24" s="229"/>
      <c r="E24" s="15"/>
    </row>
    <row r="25" spans="1:7">
      <c r="A25" s="171" t="s">
        <v>78</v>
      </c>
      <c r="B25" s="37">
        <f>aantalw2001_stookolie</f>
        <v>2528</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793</v>
      </c>
      <c r="B28" s="37">
        <f>aantalHuishoudens2011</f>
        <v>11884</v>
      </c>
      <c r="C28" s="36"/>
      <c r="D28" s="228"/>
    </row>
    <row r="29" spans="1:7" s="15" customFormat="1">
      <c r="A29" s="230" t="s">
        <v>794</v>
      </c>
      <c r="B29" s="37">
        <f>SUM(HH_hh_gas_aantal,HH_rest_gas_aantal)</f>
        <v>9045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9045</v>
      </c>
      <c r="C32" s="167">
        <f>IF(ISERROR(B32/SUM($B$32,$B$34,$B$35,$B$36,$B$38,$B$39)*100),0,B32/SUM($B$32,$B$34,$B$35,$B$36,$B$38,$B$39)*100)</f>
        <v>76.42585551330798</v>
      </c>
      <c r="D32" s="233"/>
      <c r="G32" s="15"/>
    </row>
    <row r="33" spans="1:7">
      <c r="A33" s="171" t="s">
        <v>72</v>
      </c>
      <c r="B33" s="34" t="s">
        <v>111</v>
      </c>
      <c r="C33" s="167"/>
      <c r="D33" s="233"/>
      <c r="G33" s="15"/>
    </row>
    <row r="34" spans="1:7">
      <c r="A34" s="171" t="s">
        <v>73</v>
      </c>
      <c r="B34" s="33">
        <f>IF((($B$28-$B$32-$B$39-$B$77-$B$38)*C20/100)&lt;0,0,($B$28-$B$32-$B$39-$B$77-$B$38)*C20/100)</f>
        <v>305.15625</v>
      </c>
      <c r="C34" s="167">
        <f>IF(ISERROR(B34/SUM($B$32,$B$34,$B$35,$B$36,$B$38,$B$39)*100),0,B34/SUM($B$32,$B$34,$B$35,$B$36,$B$38,$B$39)*100)</f>
        <v>2.5784220532319391</v>
      </c>
      <c r="D34" s="233"/>
      <c r="G34" s="15"/>
    </row>
    <row r="35" spans="1:7">
      <c r="A35" s="171" t="s">
        <v>74</v>
      </c>
      <c r="B35" s="33">
        <f>IF((($B$28-$B$32-$B$39-$B$77-$B$38)*C21/100)&lt;0,0,($B$28-$B$32-$B$39-$B$77-$B$38)*C21/100)</f>
        <v>2179.6875</v>
      </c>
      <c r="C35" s="167">
        <f>IF(ISERROR(B35/SUM($B$32,$B$34,$B$35,$B$36,$B$38,$B$39)*100),0,B35/SUM($B$32,$B$34,$B$35,$B$36,$B$38,$B$39)*100)</f>
        <v>18.417300380228138</v>
      </c>
      <c r="D35" s="233"/>
      <c r="G35" s="15"/>
    </row>
    <row r="36" spans="1:7">
      <c r="A36" s="171" t="s">
        <v>75</v>
      </c>
      <c r="B36" s="33">
        <f>IF((($B$28-$B$32-$B$39-$B$77-$B$38)*C22/100)&lt;0,0,($B$28-$B$32-$B$39-$B$77-$B$38)*C22/100)</f>
        <v>305.15625</v>
      </c>
      <c r="C36" s="167">
        <f>IF(ISERROR(B36/SUM($B$32,$B$34,$B$35,$B$36,$B$38,$B$39)*100),0,B36/SUM($B$32,$B$34,$B$35,$B$36,$B$38,$B$39)*100)</f>
        <v>2.5784220532319391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9045</v>
      </c>
      <c r="C44" s="34" t="s">
        <v>111</v>
      </c>
      <c r="D44" s="174"/>
    </row>
    <row r="45" spans="1:7">
      <c r="A45" s="171" t="s">
        <v>72</v>
      </c>
      <c r="B45" s="33" t="str">
        <f t="shared" si="0"/>
        <v>-</v>
      </c>
      <c r="C45" s="34" t="s">
        <v>111</v>
      </c>
      <c r="D45" s="174"/>
    </row>
    <row r="46" spans="1:7">
      <c r="A46" s="171" t="s">
        <v>73</v>
      </c>
      <c r="B46" s="33">
        <f t="shared" si="0"/>
        <v>305.15625</v>
      </c>
      <c r="C46" s="34" t="s">
        <v>111</v>
      </c>
      <c r="D46" s="174"/>
    </row>
    <row r="47" spans="1:7">
      <c r="A47" s="171" t="s">
        <v>74</v>
      </c>
      <c r="B47" s="33">
        <f t="shared" si="0"/>
        <v>2179.6875</v>
      </c>
      <c r="C47" s="34" t="s">
        <v>111</v>
      </c>
      <c r="D47" s="174"/>
    </row>
    <row r="48" spans="1:7">
      <c r="A48" s="171" t="s">
        <v>75</v>
      </c>
      <c r="B48" s="33">
        <f t="shared" si="0"/>
        <v>305.15625</v>
      </c>
      <c r="C48" s="33">
        <f>B48*10</f>
        <v>3051.5625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295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61534.186790999993</v>
      </c>
      <c r="C5" s="17">
        <f>IF(ISERROR('Eigen informatie GS &amp; warmtenet'!B58),0,'Eigen informatie GS &amp; warmtenet'!B58)</f>
        <v>0</v>
      </c>
      <c r="D5" s="30">
        <f>SUM(D6:D12)</f>
        <v>97280.229316555997</v>
      </c>
      <c r="E5" s="17">
        <f>SUM(E6:E12)</f>
        <v>1443.2228304112789</v>
      </c>
      <c r="F5" s="17">
        <f>SUM(F6:F12)</f>
        <v>12223.711073942597</v>
      </c>
      <c r="G5" s="18"/>
      <c r="H5" s="17"/>
      <c r="I5" s="17"/>
      <c r="J5" s="17">
        <f>SUM(J6:J12)</f>
        <v>0.272972422875357</v>
      </c>
      <c r="K5" s="17"/>
      <c r="L5" s="17"/>
      <c r="M5" s="17"/>
      <c r="N5" s="17">
        <f>SUM(N6:N12)</f>
        <v>10750.142083208844</v>
      </c>
      <c r="O5" s="17">
        <f>B38*B39*B40</f>
        <v>4.6900000000000004</v>
      </c>
      <c r="P5" s="17">
        <f>B46*B47*B48/1000-B46*B47*B48/1000/B49</f>
        <v>133.46666666666667</v>
      </c>
      <c r="R5" s="32"/>
    </row>
    <row r="6" spans="1:18">
      <c r="A6" s="32" t="s">
        <v>54</v>
      </c>
      <c r="B6" s="37">
        <f>B26</f>
        <v>7374.188373</v>
      </c>
      <c r="C6" s="33"/>
      <c r="D6" s="37">
        <f>IF(ISERROR(TER_kantoor_gas_kWh/1000),0,TER_kantoor_gas_kWh/1000)*0.902</f>
        <v>10991.969067156</v>
      </c>
      <c r="E6" s="33">
        <f>$C$26*'E Balans VL '!I12/100/3.6*1000000</f>
        <v>4.6218960105334841E-2</v>
      </c>
      <c r="F6" s="33">
        <f>$C$26*('E Balans VL '!L12+'E Balans VL '!N12)/100/3.6*1000000</f>
        <v>1108.1344579865679</v>
      </c>
      <c r="G6" s="34"/>
      <c r="H6" s="33"/>
      <c r="I6" s="33"/>
      <c r="J6" s="33">
        <f>$C$26*('E Balans VL '!D12+'E Balans VL '!E12)/100/3.6*1000000</f>
        <v>0</v>
      </c>
      <c r="K6" s="33"/>
      <c r="L6" s="33"/>
      <c r="M6" s="33"/>
      <c r="N6" s="33">
        <f>$C$26*'E Balans VL '!Y12/100/3.6*1000000</f>
        <v>7.0523178353601415</v>
      </c>
      <c r="O6" s="33"/>
      <c r="P6" s="33"/>
      <c r="R6" s="32"/>
    </row>
    <row r="7" spans="1:18">
      <c r="A7" s="32" t="s">
        <v>53</v>
      </c>
      <c r="B7" s="37">
        <f t="shared" ref="B7:B12" si="0">B27</f>
        <v>2296.2906940000003</v>
      </c>
      <c r="C7" s="33"/>
      <c r="D7" s="37">
        <f>IF(ISERROR(TER_horeca_gas_kWh/1000),0,TER_horeca_gas_kWh/1000)*0.902</f>
        <v>3770.4184044999997</v>
      </c>
      <c r="E7" s="33">
        <f>$C$27*'E Balans VL '!I9/100/3.6*1000000</f>
        <v>32.882500249066815</v>
      </c>
      <c r="F7" s="33">
        <f>$C$27*('E Balans VL '!L9+'E Balans VL '!N9)/100/3.6*1000000</f>
        <v>290.78613644522846</v>
      </c>
      <c r="G7" s="34"/>
      <c r="H7" s="33"/>
      <c r="I7" s="33"/>
      <c r="J7" s="33">
        <f>$C$27*('E Balans VL '!D9+'E Balans VL '!E9)/100/3.6*1000000</f>
        <v>0</v>
      </c>
      <c r="K7" s="33"/>
      <c r="L7" s="33"/>
      <c r="M7" s="33"/>
      <c r="N7" s="33">
        <f>$C$27*'E Balans VL '!Y9/100/3.6*1000000</f>
        <v>0.66013294566116221</v>
      </c>
      <c r="O7" s="33"/>
      <c r="P7" s="33"/>
      <c r="R7" s="32"/>
    </row>
    <row r="8" spans="1:18">
      <c r="A8" s="6" t="s">
        <v>52</v>
      </c>
      <c r="B8" s="37">
        <f t="shared" si="0"/>
        <v>38308.078858000001</v>
      </c>
      <c r="C8" s="33"/>
      <c r="D8" s="37">
        <f>IF(ISERROR(TER_handel_gas_kWh/1000),0,TER_handel_gas_kWh/1000)*0.902</f>
        <v>71432.214580100001</v>
      </c>
      <c r="E8" s="33">
        <f>$C$28*'E Balans VL '!I13/100/3.6*1000000</f>
        <v>1389.429296239015</v>
      </c>
      <c r="F8" s="33">
        <f>$C$28*('E Balans VL '!L13+'E Balans VL '!N13)/100/3.6*1000000</f>
        <v>7378.5238820107652</v>
      </c>
      <c r="G8" s="34"/>
      <c r="H8" s="33"/>
      <c r="I8" s="33"/>
      <c r="J8" s="33">
        <f>$C$28*('E Balans VL '!D13+'E Balans VL '!E13)/100/3.6*1000000</f>
        <v>0</v>
      </c>
      <c r="K8" s="33"/>
      <c r="L8" s="33"/>
      <c r="M8" s="33"/>
      <c r="N8" s="33">
        <f>$C$28*'E Balans VL '!Y13/100/3.6*1000000</f>
        <v>53.065503514169407</v>
      </c>
      <c r="O8" s="33"/>
      <c r="P8" s="33"/>
      <c r="R8" s="32"/>
    </row>
    <row r="9" spans="1:18">
      <c r="A9" s="32" t="s">
        <v>51</v>
      </c>
      <c r="B9" s="37">
        <f t="shared" si="0"/>
        <v>592.87599999999998</v>
      </c>
      <c r="C9" s="33"/>
      <c r="D9" s="37">
        <f>IF(ISERROR(TER_gezond_gas_kWh/1000),0,TER_gezond_gas_kWh/1000)*0.902</f>
        <v>1137.540162</v>
      </c>
      <c r="E9" s="33">
        <f>$C$29*'E Balans VL '!I10/100/3.6*1000000</f>
        <v>3.7119891192987281E-2</v>
      </c>
      <c r="F9" s="33">
        <f>$C$29*('E Balans VL '!L10+'E Balans VL '!N10)/100/3.6*1000000</f>
        <v>88.073534935507965</v>
      </c>
      <c r="G9" s="34"/>
      <c r="H9" s="33"/>
      <c r="I9" s="33"/>
      <c r="J9" s="33">
        <f>$C$29*('E Balans VL '!D10+'E Balans VL '!E10)/100/3.6*1000000</f>
        <v>0</v>
      </c>
      <c r="K9" s="33"/>
      <c r="L9" s="33"/>
      <c r="M9" s="33"/>
      <c r="N9" s="33">
        <f>$C$29*'E Balans VL '!Y10/100/3.6*1000000</f>
        <v>9.1706631756438775</v>
      </c>
      <c r="O9" s="33"/>
      <c r="P9" s="33"/>
      <c r="R9" s="32"/>
    </row>
    <row r="10" spans="1:18">
      <c r="A10" s="32" t="s">
        <v>50</v>
      </c>
      <c r="B10" s="37">
        <f t="shared" si="0"/>
        <v>12575.850707</v>
      </c>
      <c r="C10" s="33"/>
      <c r="D10" s="37">
        <f>IF(ISERROR(TER_ander_gas_kWh/1000),0,TER_ander_gas_kWh/1000)*0.902</f>
        <v>8965.2534708000021</v>
      </c>
      <c r="E10" s="33">
        <f>$C$30*'E Balans VL '!I14/100/3.6*1000000</f>
        <v>14.989964657772449</v>
      </c>
      <c r="F10" s="33">
        <f>$C$30*('E Balans VL '!L14+'E Balans VL '!N14)/100/3.6*1000000</f>
        <v>3290.4016233618577</v>
      </c>
      <c r="G10" s="34"/>
      <c r="H10" s="33"/>
      <c r="I10" s="33"/>
      <c r="J10" s="33">
        <f>$C$30*('E Balans VL '!D14+'E Balans VL '!E14)/100/3.6*1000000</f>
        <v>0.272972422875357</v>
      </c>
      <c r="K10" s="33"/>
      <c r="L10" s="33"/>
      <c r="M10" s="33"/>
      <c r="N10" s="33">
        <f>$C$30*'E Balans VL '!Y14/100/3.6*1000000</f>
        <v>10679.104693649162</v>
      </c>
      <c r="O10" s="33"/>
      <c r="P10" s="33"/>
      <c r="R10" s="32"/>
    </row>
    <row r="11" spans="1:18">
      <c r="A11" s="32" t="s">
        <v>55</v>
      </c>
      <c r="B11" s="37">
        <f t="shared" si="0"/>
        <v>386.90215899999998</v>
      </c>
      <c r="C11" s="33"/>
      <c r="D11" s="37">
        <f>IF(ISERROR(TER_onderwijs_gas_kWh/1000),0,TER_onderwijs_gas_kWh/1000)*0.902</f>
        <v>982.83363199999997</v>
      </c>
      <c r="E11" s="33">
        <f>$C$31*'E Balans VL '!I11/100/3.6*1000000</f>
        <v>5.8377304141263426</v>
      </c>
      <c r="F11" s="33">
        <f>$C$31*('E Balans VL '!L11+'E Balans VL '!N11)/100/3.6*1000000</f>
        <v>67.7914392026711</v>
      </c>
      <c r="G11" s="34"/>
      <c r="H11" s="33"/>
      <c r="I11" s="33"/>
      <c r="J11" s="33">
        <f>$C$31*('E Balans VL '!D11+'E Balans VL '!E11)/100/3.6*1000000</f>
        <v>0</v>
      </c>
      <c r="K11" s="33"/>
      <c r="L11" s="33"/>
      <c r="M11" s="33"/>
      <c r="N11" s="33">
        <f>$C$31*'E Balans VL '!Y11/100/3.6*1000000</f>
        <v>1.0887720888482453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1341</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-3831.4285714285716</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62875.186790999993</v>
      </c>
      <c r="C16" s="21">
        <f t="shared" ca="1" si="1"/>
        <v>0</v>
      </c>
      <c r="D16" s="21">
        <f t="shared" ca="1" si="1"/>
        <v>97280.229316555997</v>
      </c>
      <c r="E16" s="21">
        <f t="shared" si="1"/>
        <v>1443.2228304112789</v>
      </c>
      <c r="F16" s="21">
        <f t="shared" ca="1" si="1"/>
        <v>12223.711073942597</v>
      </c>
      <c r="G16" s="21">
        <f t="shared" si="1"/>
        <v>0</v>
      </c>
      <c r="H16" s="21">
        <f t="shared" si="1"/>
        <v>0</v>
      </c>
      <c r="I16" s="21">
        <f t="shared" si="1"/>
        <v>0</v>
      </c>
      <c r="J16" s="21">
        <f t="shared" si="1"/>
        <v>0.272972422875357</v>
      </c>
      <c r="K16" s="21">
        <f t="shared" si="1"/>
        <v>0</v>
      </c>
      <c r="L16" s="21">
        <f t="shared" ca="1" si="1"/>
        <v>0</v>
      </c>
      <c r="M16" s="21">
        <f t="shared" si="1"/>
        <v>0</v>
      </c>
      <c r="N16" s="21">
        <f t="shared" ca="1" si="1"/>
        <v>6918.7135117802727</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0.1786722534268195</v>
      </c>
      <c r="C18" s="25">
        <f ca="1">'EF ele_warmte'!B22</f>
        <v>0.21027916892684595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11234.051308580165</v>
      </c>
      <c r="C20" s="23">
        <f t="shared" ref="C20:P20" ca="1" si="2">C16*C18</f>
        <v>0</v>
      </c>
      <c r="D20" s="23">
        <f t="shared" ca="1" si="2"/>
        <v>19650.606321944313</v>
      </c>
      <c r="E20" s="23">
        <f t="shared" si="2"/>
        <v>327.6115825033603</v>
      </c>
      <c r="F20" s="23">
        <f t="shared" ca="1" si="2"/>
        <v>3263.7308567426735</v>
      </c>
      <c r="G20" s="23">
        <f t="shared" si="2"/>
        <v>0</v>
      </c>
      <c r="H20" s="23">
        <f t="shared" si="2"/>
        <v>0</v>
      </c>
      <c r="I20" s="23">
        <f t="shared" si="2"/>
        <v>0</v>
      </c>
      <c r="J20" s="23">
        <f t="shared" si="2"/>
        <v>9.6632237697876378E-2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7374.188373</v>
      </c>
      <c r="C26" s="39">
        <f>IF(ISERROR(B26*3.6/1000000/'E Balans VL '!Z12*100),0,B26*3.6/1000000/'E Balans VL '!Z12*100)</f>
        <v>0.15587866054725044</v>
      </c>
      <c r="D26" s="237" t="s">
        <v>754</v>
      </c>
      <c r="F26" s="6"/>
    </row>
    <row r="27" spans="1:18">
      <c r="A27" s="231" t="s">
        <v>53</v>
      </c>
      <c r="B27" s="33">
        <f>IF(ISERROR(TER_horeca_ele_kWh/1000),0,TER_horeca_ele_kWh/1000)</f>
        <v>2296.2906940000003</v>
      </c>
      <c r="C27" s="39">
        <f>IF(ISERROR(B27*3.6/1000000/'E Balans VL '!Z9*100),0,B27*3.6/1000000/'E Balans VL '!Z9*100)</f>
        <v>0.18101573953678457</v>
      </c>
      <c r="D27" s="237" t="s">
        <v>754</v>
      </c>
      <c r="F27" s="6"/>
    </row>
    <row r="28" spans="1:18">
      <c r="A28" s="171" t="s">
        <v>52</v>
      </c>
      <c r="B28" s="33">
        <f>IF(ISERROR(TER_handel_ele_kWh/1000),0,TER_handel_ele_kWh/1000)</f>
        <v>38308.078858000001</v>
      </c>
      <c r="C28" s="39">
        <f>IF(ISERROR(B28*3.6/1000000/'E Balans VL '!Z13*100),0,B28*3.6/1000000/'E Balans VL '!Z13*100)</f>
        <v>1.1118552304420124</v>
      </c>
      <c r="D28" s="237" t="s">
        <v>754</v>
      </c>
      <c r="F28" s="6"/>
    </row>
    <row r="29" spans="1:18">
      <c r="A29" s="231" t="s">
        <v>51</v>
      </c>
      <c r="B29" s="33">
        <f>IF(ISERROR(TER_gezond_ele_kWh/1000),0,TER_gezond_ele_kWh/1000)</f>
        <v>592.87599999999998</v>
      </c>
      <c r="C29" s="39">
        <f>IF(ISERROR(B29*3.6/1000000/'E Balans VL '!Z10*100),0,B29*3.6/1000000/'E Balans VL '!Z10*100)</f>
        <v>6.243957808089378E-2</v>
      </c>
      <c r="D29" s="237" t="s">
        <v>754</v>
      </c>
      <c r="F29" s="6"/>
    </row>
    <row r="30" spans="1:18">
      <c r="A30" s="231" t="s">
        <v>50</v>
      </c>
      <c r="B30" s="33">
        <f>IF(ISERROR(TER_ander_ele_kWh/1000),0,TER_ander_ele_kWh/1000)</f>
        <v>12575.850707</v>
      </c>
      <c r="C30" s="39">
        <f>IF(ISERROR(B30*3.6/1000000/'E Balans VL '!Z14*100),0,B30*3.6/1000000/'E Balans VL '!Z14*100)</f>
        <v>0.92759747960950623</v>
      </c>
      <c r="D30" s="237" t="s">
        <v>754</v>
      </c>
      <c r="F30" s="6"/>
    </row>
    <row r="31" spans="1:18">
      <c r="A31" s="231" t="s">
        <v>55</v>
      </c>
      <c r="B31" s="33">
        <f>IF(ISERROR(TER_onderwijs_ele_kWh/1000),0,TER_onderwijs_ele_kWh/1000)</f>
        <v>386.90215899999998</v>
      </c>
      <c r="C31" s="39">
        <f>IF(ISERROR(B31*3.6/1000000/'E Balans VL '!Z11*100),0,B31*3.6/1000000/'E Balans VL '!Z11*100)</f>
        <v>9.60859296441616E-2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7</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46798.102432999993</v>
      </c>
      <c r="C5" s="17">
        <f>IF(ISERROR('Eigen informatie GS &amp; warmtenet'!B59),0,'Eigen informatie GS &amp; warmtenet'!B59)</f>
        <v>0</v>
      </c>
      <c r="D5" s="30">
        <f>SUM(D6:D15)</f>
        <v>76703.062566459994</v>
      </c>
      <c r="E5" s="17">
        <f>SUM(E6:E15)</f>
        <v>3050.3388510448472</v>
      </c>
      <c r="F5" s="17">
        <f>SUM(F6:F15)</f>
        <v>11786.669777694924</v>
      </c>
      <c r="G5" s="18"/>
      <c r="H5" s="17"/>
      <c r="I5" s="17"/>
      <c r="J5" s="17">
        <f>SUM(J6:J15)</f>
        <v>5.9076345376293578</v>
      </c>
      <c r="K5" s="17"/>
      <c r="L5" s="17"/>
      <c r="M5" s="17"/>
      <c r="N5" s="17">
        <f>SUM(N6:N15)</f>
        <v>17650.451363497908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4855.2397510000001</v>
      </c>
      <c r="C8" s="33"/>
      <c r="D8" s="37">
        <f>IF( ISERROR(IND_metaal_Gas_kWH/1000),0,IND_metaal_Gas_kWH/1000)*0.902</f>
        <v>3417.6576147999999</v>
      </c>
      <c r="E8" s="33">
        <f>C30*'E Balans VL '!I18/100/3.6*1000000</f>
        <v>44.639240275298725</v>
      </c>
      <c r="F8" s="33">
        <f>C30*'E Balans VL '!L18/100/3.6*1000000+C30*'E Balans VL '!N18/100/3.6*1000000</f>
        <v>455.25984134980899</v>
      </c>
      <c r="G8" s="34"/>
      <c r="H8" s="33"/>
      <c r="I8" s="33"/>
      <c r="J8" s="40">
        <f>C30*'E Balans VL '!D18/100/3.6*1000000+C30*'E Balans VL '!E18/100/3.6*1000000</f>
        <v>0</v>
      </c>
      <c r="K8" s="33"/>
      <c r="L8" s="33"/>
      <c r="M8" s="33"/>
      <c r="N8" s="33">
        <f>C30*'E Balans VL '!Y18/100/3.6*1000000</f>
        <v>69.268018669586638</v>
      </c>
      <c r="O8" s="33"/>
      <c r="P8" s="33"/>
      <c r="R8" s="32"/>
    </row>
    <row r="9" spans="1:18">
      <c r="A9" s="6" t="s">
        <v>33</v>
      </c>
      <c r="B9" s="37">
        <f t="shared" si="0"/>
        <v>9705.8064839999988</v>
      </c>
      <c r="C9" s="33"/>
      <c r="D9" s="37">
        <f>IF( ISERROR(IND_andere_gas_kWh/1000),0,IND_andere_gas_kWh/1000)*0.902</f>
        <v>6595.640324856</v>
      </c>
      <c r="E9" s="33">
        <f>C31*'E Balans VL '!I19/100/3.6*1000000</f>
        <v>2837.1961850389466</v>
      </c>
      <c r="F9" s="33">
        <f>C31*'E Balans VL '!L19/100/3.6*1000000+C31*'E Balans VL '!N19/100/3.6*1000000</f>
        <v>7799.3501719397364</v>
      </c>
      <c r="G9" s="34"/>
      <c r="H9" s="33"/>
      <c r="I9" s="33"/>
      <c r="J9" s="40">
        <f>C31*'E Balans VL '!D19/100/3.6*1000000+C31*'E Balans VL '!E19/100/3.6*1000000</f>
        <v>0</v>
      </c>
      <c r="K9" s="33"/>
      <c r="L9" s="33"/>
      <c r="M9" s="33"/>
      <c r="N9" s="33">
        <f>C31*'E Balans VL '!Y19/100/3.6*1000000</f>
        <v>3206.9489886998363</v>
      </c>
      <c r="O9" s="33"/>
      <c r="P9" s="33"/>
      <c r="R9" s="32"/>
    </row>
    <row r="10" spans="1:18">
      <c r="A10" s="6" t="s">
        <v>41</v>
      </c>
      <c r="B10" s="37">
        <f t="shared" si="0"/>
        <v>4422.5250590000005</v>
      </c>
      <c r="C10" s="33"/>
      <c r="D10" s="37">
        <f>IF( ISERROR(IND_voed_gas_kWh/1000),0,IND_voed_gas_kWh/1000)*0.902</f>
        <v>9911.5531848299997</v>
      </c>
      <c r="E10" s="33">
        <f>C32*'E Balans VL '!I20/100/3.6*1000000</f>
        <v>9.3559203343777</v>
      </c>
      <c r="F10" s="33">
        <f>C32*'E Balans VL '!L20/100/3.6*1000000+C32*'E Balans VL '!N20/100/3.6*1000000</f>
        <v>281.18866072809482</v>
      </c>
      <c r="G10" s="34"/>
      <c r="H10" s="33"/>
      <c r="I10" s="33"/>
      <c r="J10" s="40">
        <f>C32*'E Balans VL '!D20/100/3.6*1000000+C32*'E Balans VL '!E20/100/3.6*1000000</f>
        <v>0</v>
      </c>
      <c r="K10" s="33"/>
      <c r="L10" s="33"/>
      <c r="M10" s="33"/>
      <c r="N10" s="33">
        <f>C32*'E Balans VL '!Y20/100/3.6*1000000</f>
        <v>305.19787161466957</v>
      </c>
      <c r="O10" s="33"/>
      <c r="P10" s="33"/>
      <c r="R10" s="32"/>
    </row>
    <row r="11" spans="1:18">
      <c r="A11" s="6" t="s">
        <v>40</v>
      </c>
      <c r="B11" s="37">
        <f t="shared" si="0"/>
        <v>20437.115000000002</v>
      </c>
      <c r="C11" s="33"/>
      <c r="D11" s="37">
        <f>IF( ISERROR(IND_textiel_gas_kWh/1000),0,IND_textiel_gas_kWh/1000)*0.902</f>
        <v>47051.036501985996</v>
      </c>
      <c r="E11" s="33">
        <f>C33*'E Balans VL '!I21/100/3.6*1000000</f>
        <v>60.696469531952104</v>
      </c>
      <c r="F11" s="33">
        <f>C33*'E Balans VL '!L21/100/3.6*1000000+C33*'E Balans VL '!N21/100/3.6*1000000</f>
        <v>2064.7096979384414</v>
      </c>
      <c r="G11" s="34"/>
      <c r="H11" s="33"/>
      <c r="I11" s="33"/>
      <c r="J11" s="40">
        <f>C33*'E Balans VL '!D21/100/3.6*1000000+C33*'E Balans VL '!E21/100/3.6*1000000</f>
        <v>0</v>
      </c>
      <c r="K11" s="33"/>
      <c r="L11" s="33"/>
      <c r="M11" s="33"/>
      <c r="N11" s="33">
        <f>C33*'E Balans VL '!Y21/100/3.6*1000000</f>
        <v>1127.1721143238387</v>
      </c>
      <c r="O11" s="33"/>
      <c r="P11" s="33"/>
      <c r="R11" s="32"/>
    </row>
    <row r="12" spans="1:18">
      <c r="A12" s="6" t="s">
        <v>37</v>
      </c>
      <c r="B12" s="37">
        <f t="shared" si="0"/>
        <v>3133.6974440000004</v>
      </c>
      <c r="C12" s="33"/>
      <c r="D12" s="37">
        <f>IF( ISERROR(IND_min_gas_kWh/1000),0,IND_min_gas_kWh/1000)*0.902</f>
        <v>3959.4052190000002</v>
      </c>
      <c r="E12" s="33">
        <f>C34*'E Balans VL '!I22/100/3.6*1000000</f>
        <v>90.83298538799734</v>
      </c>
      <c r="F12" s="33">
        <f>C34*'E Balans VL '!L22/100/3.6*1000000+C34*'E Balans VL '!N22/100/3.6*1000000</f>
        <v>1077.4005928175384</v>
      </c>
      <c r="G12" s="34"/>
      <c r="H12" s="33"/>
      <c r="I12" s="33"/>
      <c r="J12" s="40">
        <f>C34*'E Balans VL '!D22/100/3.6*1000000+C34*'E Balans VL '!E22/100/3.6*1000000</f>
        <v>5.1496092261308917</v>
      </c>
      <c r="K12" s="33"/>
      <c r="L12" s="33"/>
      <c r="M12" s="33"/>
      <c r="N12" s="33">
        <f>C34*'E Balans VL '!Y22/100/3.6*1000000</f>
        <v>686.01786745449522</v>
      </c>
      <c r="O12" s="33"/>
      <c r="P12" s="33"/>
      <c r="R12" s="32"/>
    </row>
    <row r="13" spans="1:18">
      <c r="A13" s="6" t="s">
        <v>39</v>
      </c>
      <c r="B13" s="37">
        <f t="shared" si="0"/>
        <v>4214.0296950000002</v>
      </c>
      <c r="C13" s="33"/>
      <c r="D13" s="37">
        <f>IF( ISERROR(IND_papier_gas_kWh/1000),0,IND_papier_gas_kWh/1000)*0.902</f>
        <v>5767.7697209879998</v>
      </c>
      <c r="E13" s="33">
        <f>C35*'E Balans VL '!I23/100/3.6*1000000</f>
        <v>5.9787443960952569</v>
      </c>
      <c r="F13" s="33">
        <f>C35*'E Balans VL '!L23/100/3.6*1000000+C35*'E Balans VL '!N23/100/3.6*1000000</f>
        <v>102.8803106282501</v>
      </c>
      <c r="G13" s="34"/>
      <c r="H13" s="33"/>
      <c r="I13" s="33"/>
      <c r="J13" s="40">
        <f>C35*'E Balans VL '!D23/100/3.6*1000000+C35*'E Balans VL '!E23/100/3.6*1000000</f>
        <v>0.65173925605343919</v>
      </c>
      <c r="K13" s="33"/>
      <c r="L13" s="33"/>
      <c r="M13" s="33"/>
      <c r="N13" s="33">
        <f>C35*'E Balans VL '!Y23/100/3.6*1000000</f>
        <v>12249.186794019339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29.689</v>
      </c>
      <c r="C15" s="33"/>
      <c r="D15" s="37">
        <f>IF( ISERROR(IND_rest_gas_kWh/1000),0,IND_rest_gas_kWh/1000)*0.902</f>
        <v>0</v>
      </c>
      <c r="E15" s="33">
        <f>C37*'E Balans VL '!I15/100/3.6*1000000</f>
        <v>1.639306080179731</v>
      </c>
      <c r="F15" s="33">
        <f>C37*'E Balans VL '!L15/100/3.6*1000000+C37*'E Balans VL '!N15/100/3.6*1000000</f>
        <v>5.8805022930550965</v>
      </c>
      <c r="G15" s="34"/>
      <c r="H15" s="33"/>
      <c r="I15" s="33"/>
      <c r="J15" s="40">
        <f>C37*'E Balans VL '!D15/100/3.6*1000000+C37*'E Balans VL '!E15/100/3.6*1000000</f>
        <v>0.10628605544502727</v>
      </c>
      <c r="K15" s="33"/>
      <c r="L15" s="33"/>
      <c r="M15" s="33"/>
      <c r="N15" s="33">
        <f>C37*'E Balans VL '!Y15/100/3.6*1000000</f>
        <v>6.6597087161439887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46798.102432999993</v>
      </c>
      <c r="C18" s="21">
        <f>C5+C16</f>
        <v>0</v>
      </c>
      <c r="D18" s="21">
        <f>MAX((D5+D16),0)</f>
        <v>76703.062566459994</v>
      </c>
      <c r="E18" s="21">
        <f>MAX((E5+E16),0)</f>
        <v>3050.3388510448472</v>
      </c>
      <c r="F18" s="21">
        <f>MAX((F5+F16),0)</f>
        <v>11786.669777694924</v>
      </c>
      <c r="G18" s="21"/>
      <c r="H18" s="21"/>
      <c r="I18" s="21"/>
      <c r="J18" s="21">
        <f>MAX((J5+J16),0)</f>
        <v>5.9076345376293578</v>
      </c>
      <c r="K18" s="21"/>
      <c r="L18" s="21">
        <f>MAX((L5+L16),0)</f>
        <v>0</v>
      </c>
      <c r="M18" s="21"/>
      <c r="N18" s="21">
        <f>MAX((N5+N16),0)</f>
        <v>17650.451363497908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0.1786722534268195</v>
      </c>
      <c r="C20" s="25">
        <f ca="1">'EF ele_warmte'!B22</f>
        <v>0.21027916892684595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8361.5224178032331</v>
      </c>
      <c r="C22" s="23">
        <f ca="1">C18*C20</f>
        <v>0</v>
      </c>
      <c r="D22" s="23">
        <f>D18*D20</f>
        <v>15494.018638424919</v>
      </c>
      <c r="E22" s="23">
        <f>E18*E20</f>
        <v>692.42691918718037</v>
      </c>
      <c r="F22" s="23">
        <f>F18*F20</f>
        <v>3147.0408306445447</v>
      </c>
      <c r="G22" s="23"/>
      <c r="H22" s="23"/>
      <c r="I22" s="23"/>
      <c r="J22" s="23">
        <f>J18*J20</f>
        <v>2.0913026263207923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4855.2397510000001</v>
      </c>
      <c r="C30" s="39">
        <f>IF(ISERROR(B30*3.6/1000000/'E Balans VL '!Z18*100),0,B30*3.6/1000000/'E Balans VL '!Z18*100)</f>
        <v>0.27515888633815888</v>
      </c>
      <c r="D30" s="237" t="s">
        <v>754</v>
      </c>
    </row>
    <row r="31" spans="1:18">
      <c r="A31" s="6" t="s">
        <v>33</v>
      </c>
      <c r="B31" s="37">
        <f>IF( ISERROR(IND_ander_ele_kWh/1000),0,IND_ander_ele_kWh/1000)</f>
        <v>9705.8064839999988</v>
      </c>
      <c r="C31" s="39">
        <f>IF(ISERROR(B31*3.6/1000000/'E Balans VL '!Z19*100),0,B31*3.6/1000000/'E Balans VL '!Z19*100)</f>
        <v>0.44021496783943859</v>
      </c>
      <c r="D31" s="237" t="s">
        <v>754</v>
      </c>
    </row>
    <row r="32" spans="1:18">
      <c r="A32" s="171" t="s">
        <v>41</v>
      </c>
      <c r="B32" s="37">
        <f>IF( ISERROR(IND_voed_ele_kWh/1000),0,IND_voed_ele_kWh/1000)</f>
        <v>4422.5250590000005</v>
      </c>
      <c r="C32" s="39">
        <f>IF(ISERROR(B32*3.6/1000000/'E Balans VL '!Z20*100),0,B32*3.6/1000000/'E Balans VL '!Z20*100)</f>
        <v>0.13680877664346289</v>
      </c>
      <c r="D32" s="237" t="s">
        <v>754</v>
      </c>
    </row>
    <row r="33" spans="1:5">
      <c r="A33" s="171" t="s">
        <v>40</v>
      </c>
      <c r="B33" s="37">
        <f>IF( ISERROR(IND_textiel_ele_kWh/1000),0,IND_textiel_ele_kWh/1000)</f>
        <v>20437.115000000002</v>
      </c>
      <c r="C33" s="39">
        <f>IF(ISERROR(B33*3.6/1000000/'E Balans VL '!Z21*100),0,B33*3.6/1000000/'E Balans VL '!Z21*100)</f>
        <v>2.6647726258992419</v>
      </c>
      <c r="D33" s="237" t="s">
        <v>754</v>
      </c>
    </row>
    <row r="34" spans="1:5">
      <c r="A34" s="171" t="s">
        <v>37</v>
      </c>
      <c r="B34" s="37">
        <f>IF( ISERROR(IND_min_ele_kWh/1000),0,IND_min_ele_kWh/1000)</f>
        <v>3133.6974440000004</v>
      </c>
      <c r="C34" s="39">
        <f>IF(ISERROR(B34*3.6/1000000/'E Balans VL '!Z22*100),0,B34*3.6/1000000/'E Balans VL '!Z22*100)</f>
        <v>0.5636543999413588</v>
      </c>
      <c r="D34" s="237" t="s">
        <v>754</v>
      </c>
    </row>
    <row r="35" spans="1:5">
      <c r="A35" s="171" t="s">
        <v>39</v>
      </c>
      <c r="B35" s="37">
        <f>IF( ISERROR(IND_papier_ele_kWh/1000),0,IND_papier_ele_kWh/1000)</f>
        <v>4214.0296950000002</v>
      </c>
      <c r="C35" s="39">
        <f>IF(ISERROR(B35*3.6/1000000/'E Balans VL '!Z22*100),0,B35*3.6/1000000/'E Balans VL '!Z22*100)</f>
        <v>0.75797246591821654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29.689</v>
      </c>
      <c r="C37" s="39">
        <f>IF(ISERROR(B37*3.6/1000000/'E Balans VL '!Z15*100),0,B37*3.6/1000000/'E Balans VL '!Z15*100)</f>
        <v>2.3532178655966983E-4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1937.882683</v>
      </c>
      <c r="C5" s="17">
        <f>'Eigen informatie GS &amp; warmtenet'!B60</f>
        <v>0</v>
      </c>
      <c r="D5" s="30">
        <f>IF(ISERROR(SUM(LB_lb_gas_kWh,LB_rest_gas_kWh)/1000),0,SUM(LB_lb_gas_kWh,LB_rest_gas_kWh)/1000)*0.902</f>
        <v>37554.897182000001</v>
      </c>
      <c r="E5" s="17">
        <f>B17*'E Balans VL '!I25/3.6*1000000/100</f>
        <v>56.960291030261075</v>
      </c>
      <c r="F5" s="17">
        <f>B17*('E Balans VL '!L25/3.6*1000000+'E Balans VL '!N25/3.6*1000000)/100</f>
        <v>8073.1145396941984</v>
      </c>
      <c r="G5" s="18"/>
      <c r="H5" s="17"/>
      <c r="I5" s="17"/>
      <c r="J5" s="17">
        <f>('E Balans VL '!D25+'E Balans VL '!E25)/3.6*1000000*landbouw!B17/100</f>
        <v>280.75758425970315</v>
      </c>
      <c r="K5" s="17"/>
      <c r="L5" s="17">
        <f>L6*(-1)</f>
        <v>0</v>
      </c>
      <c r="M5" s="17"/>
      <c r="N5" s="17">
        <f>N6*(-1)</f>
        <v>6904.2857142857147</v>
      </c>
      <c r="O5" s="17"/>
      <c r="P5" s="17"/>
      <c r="R5" s="32"/>
    </row>
    <row r="6" spans="1:18">
      <c r="A6" s="16" t="s">
        <v>488</v>
      </c>
      <c r="B6" s="17" t="s">
        <v>211</v>
      </c>
      <c r="C6" s="17">
        <f>'lokale energieproductie'!O92+'lokale energieproductie'!O61</f>
        <v>29976.428571428572</v>
      </c>
      <c r="D6" s="310">
        <f>('lokale energieproductie'!P61+'lokale energieproductie'!P92)*(-1)</f>
        <v>-53048.571428571435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-6904.2857142857147</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1937.882683</v>
      </c>
      <c r="C8" s="21">
        <f>C5+C6</f>
        <v>29976.428571428572</v>
      </c>
      <c r="D8" s="21">
        <f>MAX((D5+D6),0)</f>
        <v>0</v>
      </c>
      <c r="E8" s="21">
        <f>MAX((E5+E6),0)</f>
        <v>56.960291030261075</v>
      </c>
      <c r="F8" s="21">
        <f>MAX((F5+F6),0)</f>
        <v>8073.1145396941984</v>
      </c>
      <c r="G8" s="21"/>
      <c r="H8" s="21"/>
      <c r="I8" s="21"/>
      <c r="J8" s="21">
        <f>MAX((J5+J6),0)</f>
        <v>280.75758425970315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0.1786722534268195</v>
      </c>
      <c r="C10" s="31">
        <f ca="1">'EF ele_warmte'!B22</f>
        <v>0.21027916892684595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346.24586584842092</v>
      </c>
      <c r="C12" s="23">
        <f ca="1">C8*C10</f>
        <v>6303.4184873949598</v>
      </c>
      <c r="D12" s="23">
        <f>D8*D10</f>
        <v>0</v>
      </c>
      <c r="E12" s="23">
        <f>E8*E10</f>
        <v>12.929986063869265</v>
      </c>
      <c r="F12" s="23">
        <f>F8*F10</f>
        <v>2155.5215820983512</v>
      </c>
      <c r="G12" s="23"/>
      <c r="H12" s="23"/>
      <c r="I12" s="23"/>
      <c r="J12" s="23">
        <f>J8*J10</f>
        <v>99.388184827934907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0.27499163263919923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193.04496622892685</v>
      </c>
      <c r="C26" s="247">
        <f>B26*'GWP N2O_CH4'!B5</f>
        <v>4053.9442908074639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69.640529590626798</v>
      </c>
      <c r="C27" s="247">
        <f>B27*'GWP N2O_CH4'!B5</f>
        <v>1462.4511214031627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2.7558215974664404</v>
      </c>
      <c r="C28" s="247">
        <f>B28*'GWP N2O_CH4'!B4</f>
        <v>854.30469521459656</v>
      </c>
      <c r="D28" s="50"/>
    </row>
    <row r="29" spans="1:4">
      <c r="A29" s="41" t="s">
        <v>277</v>
      </c>
      <c r="B29" s="247">
        <f>B34*'ha_N2O bodem landbouw'!B4</f>
        <v>7.3929108246896744</v>
      </c>
      <c r="C29" s="247">
        <f>B29*'GWP N2O_CH4'!B4</f>
        <v>2291.8023556537992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1.6870367730900798E-3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2.3869374750789049E-4</v>
      </c>
      <c r="C5" s="463" t="s">
        <v>211</v>
      </c>
      <c r="D5" s="448">
        <f>SUM(D6:D11)</f>
        <v>8.4763917161975776E-4</v>
      </c>
      <c r="E5" s="448">
        <f>SUM(E6:E11)</f>
        <v>1.245171537596154E-3</v>
      </c>
      <c r="F5" s="461" t="s">
        <v>211</v>
      </c>
      <c r="G5" s="448">
        <f>SUM(G6:G11)</f>
        <v>0.56906206259871184</v>
      </c>
      <c r="H5" s="448">
        <f>SUM(H6:H11)</f>
        <v>9.7252654807389732E-2</v>
      </c>
      <c r="I5" s="463" t="s">
        <v>211</v>
      </c>
      <c r="J5" s="463" t="s">
        <v>211</v>
      </c>
      <c r="K5" s="463" t="s">
        <v>211</v>
      </c>
      <c r="L5" s="463" t="s">
        <v>211</v>
      </c>
      <c r="M5" s="448">
        <f>SUM(M6:M11)</f>
        <v>3.6116942727567554E-2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8.0196697281707203E-5</v>
      </c>
      <c r="C6" s="449"/>
      <c r="D6" s="892">
        <f>vkm_2011_GW_PW*SUMIFS(TableVerdeelsleutelVkm[CNG],TableVerdeelsleutelVkm[Voertuigtype],"Lichte voertuigen")*SUMIFS(TableECFTransport[EnergieConsumptieFactor (PJ per km)],TableECFTransport[Index],CONCATENATE($A6,"_CNG_CNG"))</f>
        <v>2.4054406312769947E-4</v>
      </c>
      <c r="E6" s="892">
        <f>vkm_2011_GW_PW*SUMIFS(TableVerdeelsleutelVkm[LPG],TableVerdeelsleutelVkm[Voertuigtype],"Lichte voertuigen")*SUMIFS(TableECFTransport[EnergieConsumptieFactor (PJ per km)],TableECFTransport[Index],CONCATENATE($A6,"_LPG_LPG"))</f>
        <v>3.2861774268428307E-4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8.496548418669482E-2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2.73591193519005E-2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5.7711557078252863E-3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7.0599340250318499E-2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2.151724432241381E-5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4.1255872555745607E-3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5.0014526141728017E-5</v>
      </c>
      <c r="C8" s="449"/>
      <c r="D8" s="451">
        <f>vkm_2011_NGW_PW*SUMIFS(TableVerdeelsleutelVkm[CNG],TableVerdeelsleutelVkm[Voertuigtype],"Lichte voertuigen")*SUMIFS(TableECFTransport[EnergieConsumptieFactor (PJ per km)],TableECFTransport[Index],CONCATENATE($A8,"_CNG_CNG"))</f>
        <v>2.6672812417806956E-4</v>
      </c>
      <c r="E8" s="451">
        <f>vkm_2011_NGW_PW*SUMIFS(TableVerdeelsleutelVkm[LPG],TableVerdeelsleutelVkm[Voertuigtype],"Lichte voertuigen")*SUMIFS(TableECFTransport[EnergieConsumptieFactor (PJ per km)],TableECFTransport[Index],CONCATENATE($A8,"_LPG_LPG"))</f>
        <v>3.3746549892996869E-4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8.1310664865842097E-2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2.9481167146083526E-2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5.6201926463083154E-3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3.1635471324931878E-2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9.0769672737194993E-6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1.848653553794221E-3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1.0848252408445526E-4</v>
      </c>
      <c r="C10" s="449"/>
      <c r="D10" s="451">
        <f>vkm_2011_SW_PW*SUMIFS(TableVerdeelsleutelVkm[CNG],TableVerdeelsleutelVkm[Voertuigtype],"Lichte voertuigen")*SUMIFS(TableECFTransport[EnergieConsumptieFactor (PJ per km)],TableECFTransport[Index],CONCATENATE($A10,"_CNG_CNG"))</f>
        <v>3.4036698431398876E-4</v>
      </c>
      <c r="E10" s="451">
        <f>vkm_2011_SW_PW*SUMIFS(TableVerdeelsleutelVkm[LPG],TableVerdeelsleutelVkm[Voertuigtype],"Lichte voertuigen")*SUMIFS(TableECFTransport[EnergieConsumptieFactor (PJ per km)],TableECFTransport[Index],CONCATENATE($A10,"_LPG_LPG"))</f>
        <v>5.7908829598190225E-4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0.1334811642627835</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4.0326786614101474E-2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8.9882301017875053E-3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0.16706993770814105</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5.4987483708113732E-5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9.7631234622776661E-3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66.303818752191802</v>
      </c>
      <c r="C14" s="21"/>
      <c r="D14" s="21">
        <f t="shared" ref="D14:M14" si="0">((D5)*10^9/3600)+D12</f>
        <v>235.45532544993273</v>
      </c>
      <c r="E14" s="21">
        <f t="shared" si="0"/>
        <v>345.88098266559837</v>
      </c>
      <c r="F14" s="21"/>
      <c r="G14" s="21">
        <f t="shared" si="0"/>
        <v>158072.79516630885</v>
      </c>
      <c r="H14" s="21">
        <f t="shared" si="0"/>
        <v>27014.626335386038</v>
      </c>
      <c r="I14" s="21"/>
      <c r="J14" s="21"/>
      <c r="K14" s="21"/>
      <c r="L14" s="21"/>
      <c r="M14" s="21">
        <f t="shared" si="0"/>
        <v>10032.484090990987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0.1786722534268195</v>
      </c>
      <c r="C16" s="56">
        <f ca="1">'EF ele_warmte'!B22</f>
        <v>0.21027916892684595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11.846652707257521</v>
      </c>
      <c r="C18" s="23"/>
      <c r="D18" s="23">
        <f t="shared" ref="D18:M18" si="1">D14*D16</f>
        <v>47.561975740886417</v>
      </c>
      <c r="E18" s="23">
        <f t="shared" si="1"/>
        <v>78.514983065090831</v>
      </c>
      <c r="F18" s="23"/>
      <c r="G18" s="23">
        <f t="shared" si="1"/>
        <v>42205.436309404467</v>
      </c>
      <c r="H18" s="23">
        <f t="shared" si="1"/>
        <v>6726.6419575111231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4.9776278358461675E-3</v>
      </c>
      <c r="H50" s="321">
        <f t="shared" si="2"/>
        <v>0</v>
      </c>
      <c r="I50" s="321">
        <f t="shared" si="2"/>
        <v>0</v>
      </c>
      <c r="J50" s="321">
        <f t="shared" si="2"/>
        <v>0</v>
      </c>
      <c r="K50" s="321">
        <f t="shared" si="2"/>
        <v>0</v>
      </c>
      <c r="L50" s="321">
        <f t="shared" si="2"/>
        <v>0</v>
      </c>
      <c r="M50" s="321">
        <f t="shared" si="2"/>
        <v>2.8270728695776705E-4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4.9776278358461675E-3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2.8270728695776705E-4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1382.6743988461578</v>
      </c>
      <c r="H54" s="21">
        <f t="shared" si="3"/>
        <v>0</v>
      </c>
      <c r="I54" s="21">
        <f t="shared" si="3"/>
        <v>0</v>
      </c>
      <c r="J54" s="21">
        <f t="shared" si="3"/>
        <v>0</v>
      </c>
      <c r="K54" s="21">
        <f t="shared" si="3"/>
        <v>0</v>
      </c>
      <c r="L54" s="21">
        <f t="shared" si="3"/>
        <v>0</v>
      </c>
      <c r="M54" s="21">
        <f t="shared" si="3"/>
        <v>78.52980193271307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0.1786722534268195</v>
      </c>
      <c r="C56" s="56">
        <f ca="1">'EF ele_warmte'!B22</f>
        <v>0.21027916892684595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369.17406449192418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65155.855790999994</v>
      </c>
      <c r="D10" s="1013">
        <f ca="1">tertiair!C16</f>
        <v>0</v>
      </c>
      <c r="E10" s="1013">
        <f ca="1">tertiair!D16</f>
        <v>97280.229316555997</v>
      </c>
      <c r="F10" s="1013">
        <f>tertiair!E16</f>
        <v>1443.2228304112789</v>
      </c>
      <c r="G10" s="1013">
        <f ca="1">tertiair!F16</f>
        <v>12223.711073942597</v>
      </c>
      <c r="H10" s="1013">
        <f>tertiair!G16</f>
        <v>0</v>
      </c>
      <c r="I10" s="1013">
        <f>tertiair!H16</f>
        <v>0</v>
      </c>
      <c r="J10" s="1013">
        <f>tertiair!I16</f>
        <v>0</v>
      </c>
      <c r="K10" s="1013">
        <f>tertiair!J16</f>
        <v>0.272972422875357</v>
      </c>
      <c r="L10" s="1013">
        <f>tertiair!K16</f>
        <v>0</v>
      </c>
      <c r="M10" s="1013">
        <f ca="1">tertiair!L16</f>
        <v>0</v>
      </c>
      <c r="N10" s="1013">
        <f>tertiair!M16</f>
        <v>0</v>
      </c>
      <c r="O10" s="1013">
        <f ca="1">tertiair!N16</f>
        <v>6918.7135117802727</v>
      </c>
      <c r="P10" s="1013">
        <f>tertiair!O16</f>
        <v>4.6900000000000004</v>
      </c>
      <c r="Q10" s="1014">
        <f>tertiair!P16</f>
        <v>133.46666666666667</v>
      </c>
      <c r="R10" s="700">
        <f ca="1">SUM(C10:Q10)</f>
        <v>183160.16216277971</v>
      </c>
      <c r="S10" s="67"/>
    </row>
    <row r="11" spans="1:19" s="473" customFormat="1">
      <c r="A11" s="809" t="s">
        <v>225</v>
      </c>
      <c r="B11" s="814"/>
      <c r="C11" s="1013">
        <f>huishoudens!B8</f>
        <v>42038.636987289865</v>
      </c>
      <c r="D11" s="1013">
        <f>huishoudens!C8</f>
        <v>0</v>
      </c>
      <c r="E11" s="1013">
        <f>huishoudens!D8</f>
        <v>110072.44545218894</v>
      </c>
      <c r="F11" s="1013">
        <f>huishoudens!E8</f>
        <v>6461.2058381874367</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22019.438739530073</v>
      </c>
      <c r="P11" s="1013">
        <f>huishoudens!O8</f>
        <v>461.18333333333334</v>
      </c>
      <c r="Q11" s="1014">
        <f>huishoudens!P8</f>
        <v>934.26666666666665</v>
      </c>
      <c r="R11" s="700">
        <f>SUM(C11:Q11)</f>
        <v>181987.17701719629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46798.102432999993</v>
      </c>
      <c r="D13" s="1013">
        <f>industrie!C18</f>
        <v>0</v>
      </c>
      <c r="E13" s="1013">
        <f>industrie!D18</f>
        <v>76703.062566459994</v>
      </c>
      <c r="F13" s="1013">
        <f>industrie!E18</f>
        <v>3050.3388510448472</v>
      </c>
      <c r="G13" s="1013">
        <f>industrie!F18</f>
        <v>11786.669777694924</v>
      </c>
      <c r="H13" s="1013">
        <f>industrie!G18</f>
        <v>0</v>
      </c>
      <c r="I13" s="1013">
        <f>industrie!H18</f>
        <v>0</v>
      </c>
      <c r="J13" s="1013">
        <f>industrie!I18</f>
        <v>0</v>
      </c>
      <c r="K13" s="1013">
        <f>industrie!J18</f>
        <v>5.9076345376293578</v>
      </c>
      <c r="L13" s="1013">
        <f>industrie!K18</f>
        <v>0</v>
      </c>
      <c r="M13" s="1013">
        <f>industrie!L18</f>
        <v>0</v>
      </c>
      <c r="N13" s="1013">
        <f>industrie!M18</f>
        <v>0</v>
      </c>
      <c r="O13" s="1013">
        <f>industrie!N18</f>
        <v>17650.451363497908</v>
      </c>
      <c r="P13" s="1013">
        <f>industrie!O18</f>
        <v>0</v>
      </c>
      <c r="Q13" s="1014">
        <f>industrie!P18</f>
        <v>0</v>
      </c>
      <c r="R13" s="700">
        <f>SUM(C13:Q13)</f>
        <v>155994.5326262353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153992.59521128985</v>
      </c>
      <c r="D16" s="732">
        <f t="shared" ref="D16:R16" ca="1" si="0">SUM(D9:D15)</f>
        <v>0</v>
      </c>
      <c r="E16" s="732">
        <f t="shared" ca="1" si="0"/>
        <v>284055.73733520496</v>
      </c>
      <c r="F16" s="732">
        <f t="shared" si="0"/>
        <v>10954.767519643563</v>
      </c>
      <c r="G16" s="732">
        <f t="shared" ca="1" si="0"/>
        <v>24010.380851637521</v>
      </c>
      <c r="H16" s="732">
        <f t="shared" si="0"/>
        <v>0</v>
      </c>
      <c r="I16" s="732">
        <f t="shared" si="0"/>
        <v>0</v>
      </c>
      <c r="J16" s="732">
        <f t="shared" si="0"/>
        <v>0</v>
      </c>
      <c r="K16" s="732">
        <f t="shared" si="0"/>
        <v>6.1806069605047149</v>
      </c>
      <c r="L16" s="732">
        <f t="shared" si="0"/>
        <v>0</v>
      </c>
      <c r="M16" s="732">
        <f t="shared" ca="1" si="0"/>
        <v>0</v>
      </c>
      <c r="N16" s="732">
        <f t="shared" si="0"/>
        <v>0</v>
      </c>
      <c r="O16" s="732">
        <f t="shared" ca="1" si="0"/>
        <v>46588.603614808249</v>
      </c>
      <c r="P16" s="732">
        <f t="shared" si="0"/>
        <v>465.87333333333333</v>
      </c>
      <c r="Q16" s="732">
        <f t="shared" si="0"/>
        <v>1067.7333333333333</v>
      </c>
      <c r="R16" s="732">
        <f t="shared" ca="1" si="0"/>
        <v>521141.8718062113</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1382.6743988461578</v>
      </c>
      <c r="I19" s="1013">
        <f>transport!H54</f>
        <v>0</v>
      </c>
      <c r="J19" s="1013">
        <f>transport!I54</f>
        <v>0</v>
      </c>
      <c r="K19" s="1013">
        <f>transport!J54</f>
        <v>0</v>
      </c>
      <c r="L19" s="1013">
        <f>transport!K54</f>
        <v>0</v>
      </c>
      <c r="M19" s="1013">
        <f>transport!L54</f>
        <v>0</v>
      </c>
      <c r="N19" s="1013">
        <f>transport!M54</f>
        <v>78.52980193271307</v>
      </c>
      <c r="O19" s="1013">
        <f>transport!N54</f>
        <v>0</v>
      </c>
      <c r="P19" s="1013">
        <f>transport!O54</f>
        <v>0</v>
      </c>
      <c r="Q19" s="1014">
        <f>transport!P54</f>
        <v>0</v>
      </c>
      <c r="R19" s="700">
        <f>SUM(C19:Q19)</f>
        <v>1461.2042007788709</v>
      </c>
      <c r="S19" s="67"/>
    </row>
    <row r="20" spans="1:19" s="473" customFormat="1">
      <c r="A20" s="809" t="s">
        <v>307</v>
      </c>
      <c r="B20" s="814"/>
      <c r="C20" s="1013">
        <f>transport!B14</f>
        <v>66.303818752191802</v>
      </c>
      <c r="D20" s="1013">
        <f>transport!C14</f>
        <v>0</v>
      </c>
      <c r="E20" s="1013">
        <f>transport!D14</f>
        <v>235.45532544993273</v>
      </c>
      <c r="F20" s="1013">
        <f>transport!E14</f>
        <v>345.88098266559837</v>
      </c>
      <c r="G20" s="1013">
        <f>transport!F14</f>
        <v>0</v>
      </c>
      <c r="H20" s="1013">
        <f>transport!G14</f>
        <v>158072.79516630885</v>
      </c>
      <c r="I20" s="1013">
        <f>transport!H14</f>
        <v>27014.626335386038</v>
      </c>
      <c r="J20" s="1013">
        <f>transport!I14</f>
        <v>0</v>
      </c>
      <c r="K20" s="1013">
        <f>transport!J14</f>
        <v>0</v>
      </c>
      <c r="L20" s="1013">
        <f>transport!K14</f>
        <v>0</v>
      </c>
      <c r="M20" s="1013">
        <f>transport!L14</f>
        <v>0</v>
      </c>
      <c r="N20" s="1013">
        <f>transport!M14</f>
        <v>10032.484090990987</v>
      </c>
      <c r="O20" s="1013">
        <f>transport!N14</f>
        <v>0</v>
      </c>
      <c r="P20" s="1013">
        <f>transport!O14</f>
        <v>0</v>
      </c>
      <c r="Q20" s="1014">
        <f>transport!P14</f>
        <v>0</v>
      </c>
      <c r="R20" s="700">
        <f>SUM(C20:Q20)</f>
        <v>195767.5457195536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66.303818752191802</v>
      </c>
      <c r="D22" s="812">
        <f t="shared" ref="D22:R22" si="1">SUM(D18:D21)</f>
        <v>0</v>
      </c>
      <c r="E22" s="812">
        <f t="shared" si="1"/>
        <v>235.45532544993273</v>
      </c>
      <c r="F22" s="812">
        <f t="shared" si="1"/>
        <v>345.88098266559837</v>
      </c>
      <c r="G22" s="812">
        <f t="shared" si="1"/>
        <v>0</v>
      </c>
      <c r="H22" s="812">
        <f t="shared" si="1"/>
        <v>159455.46956515501</v>
      </c>
      <c r="I22" s="812">
        <f t="shared" si="1"/>
        <v>27014.626335386038</v>
      </c>
      <c r="J22" s="812">
        <f t="shared" si="1"/>
        <v>0</v>
      </c>
      <c r="K22" s="812">
        <f t="shared" si="1"/>
        <v>0</v>
      </c>
      <c r="L22" s="812">
        <f t="shared" si="1"/>
        <v>0</v>
      </c>
      <c r="M22" s="812">
        <f t="shared" si="1"/>
        <v>0</v>
      </c>
      <c r="N22" s="812">
        <f t="shared" si="1"/>
        <v>10111.0138929237</v>
      </c>
      <c r="O22" s="812">
        <f t="shared" si="1"/>
        <v>0</v>
      </c>
      <c r="P22" s="812">
        <f t="shared" si="1"/>
        <v>0</v>
      </c>
      <c r="Q22" s="812">
        <f t="shared" si="1"/>
        <v>0</v>
      </c>
      <c r="R22" s="812">
        <f t="shared" si="1"/>
        <v>197228.74992033248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1937.882683</v>
      </c>
      <c r="D24" s="1013">
        <f>+landbouw!C8</f>
        <v>29976.428571428572</v>
      </c>
      <c r="E24" s="1013">
        <f>+landbouw!D8</f>
        <v>0</v>
      </c>
      <c r="F24" s="1013">
        <f>+landbouw!E8</f>
        <v>56.960291030261075</v>
      </c>
      <c r="G24" s="1013">
        <f>+landbouw!F8</f>
        <v>8073.1145396941984</v>
      </c>
      <c r="H24" s="1013">
        <f>+landbouw!G8</f>
        <v>0</v>
      </c>
      <c r="I24" s="1013">
        <f>+landbouw!H8</f>
        <v>0</v>
      </c>
      <c r="J24" s="1013">
        <f>+landbouw!I8</f>
        <v>0</v>
      </c>
      <c r="K24" s="1013">
        <f>+landbouw!J8</f>
        <v>280.75758425970315</v>
      </c>
      <c r="L24" s="1013">
        <f>+landbouw!K8</f>
        <v>0</v>
      </c>
      <c r="M24" s="1013">
        <f>+landbouw!L8</f>
        <v>0</v>
      </c>
      <c r="N24" s="1013">
        <f>+landbouw!M8</f>
        <v>0</v>
      </c>
      <c r="O24" s="1013">
        <f>+landbouw!N8</f>
        <v>0</v>
      </c>
      <c r="P24" s="1013">
        <f>+landbouw!O8</f>
        <v>0</v>
      </c>
      <c r="Q24" s="1014">
        <f>+landbouw!P8</f>
        <v>0</v>
      </c>
      <c r="R24" s="700">
        <f>SUM(C24:Q24)</f>
        <v>40325.143669412733</v>
      </c>
      <c r="S24" s="67"/>
    </row>
    <row r="25" spans="1:19" s="473" customFormat="1" ht="15" thickBot="1">
      <c r="A25" s="831" t="s">
        <v>836</v>
      </c>
      <c r="B25" s="1016"/>
      <c r="C25" s="1017">
        <f>IF(Onbekend_ele_kWh="---",0,Onbekend_ele_kWh)/1000+IF(REST_rest_ele_kWh="---",0,REST_rest_ele_kWh)/1000</f>
        <v>1083.762853</v>
      </c>
      <c r="D25" s="1017"/>
      <c r="E25" s="1017">
        <f>IF(onbekend_gas_kWh="---",0,onbekend_gas_kWh)/1000+IF(REST_rest_gas_kWh="---",0,REST_rest_gas_kWh)/1000</f>
        <v>3926.3857349999998</v>
      </c>
      <c r="F25" s="1017"/>
      <c r="G25" s="1017"/>
      <c r="H25" s="1017"/>
      <c r="I25" s="1017"/>
      <c r="J25" s="1017"/>
      <c r="K25" s="1017"/>
      <c r="L25" s="1017"/>
      <c r="M25" s="1017"/>
      <c r="N25" s="1017"/>
      <c r="O25" s="1017"/>
      <c r="P25" s="1017"/>
      <c r="Q25" s="1018"/>
      <c r="R25" s="700">
        <f>SUM(C25:Q25)</f>
        <v>5010.148588</v>
      </c>
      <c r="S25" s="67"/>
    </row>
    <row r="26" spans="1:19" s="473" customFormat="1" ht="15.75" thickBot="1">
      <c r="A26" s="705" t="s">
        <v>837</v>
      </c>
      <c r="B26" s="817"/>
      <c r="C26" s="812">
        <f>SUM(C24:C25)</f>
        <v>3021.645536</v>
      </c>
      <c r="D26" s="812">
        <f t="shared" ref="D26:R26" si="2">SUM(D24:D25)</f>
        <v>29976.428571428572</v>
      </c>
      <c r="E26" s="812">
        <f t="shared" si="2"/>
        <v>3926.3857349999998</v>
      </c>
      <c r="F26" s="812">
        <f t="shared" si="2"/>
        <v>56.960291030261075</v>
      </c>
      <c r="G26" s="812">
        <f t="shared" si="2"/>
        <v>8073.1145396941984</v>
      </c>
      <c r="H26" s="812">
        <f t="shared" si="2"/>
        <v>0</v>
      </c>
      <c r="I26" s="812">
        <f t="shared" si="2"/>
        <v>0</v>
      </c>
      <c r="J26" s="812">
        <f t="shared" si="2"/>
        <v>0</v>
      </c>
      <c r="K26" s="812">
        <f t="shared" si="2"/>
        <v>280.75758425970315</v>
      </c>
      <c r="L26" s="812">
        <f t="shared" si="2"/>
        <v>0</v>
      </c>
      <c r="M26" s="812">
        <f t="shared" si="2"/>
        <v>0</v>
      </c>
      <c r="N26" s="812">
        <f t="shared" si="2"/>
        <v>0</v>
      </c>
      <c r="O26" s="812">
        <f t="shared" si="2"/>
        <v>0</v>
      </c>
      <c r="P26" s="812">
        <f t="shared" si="2"/>
        <v>0</v>
      </c>
      <c r="Q26" s="812">
        <f t="shared" si="2"/>
        <v>0</v>
      </c>
      <c r="R26" s="812">
        <f t="shared" si="2"/>
        <v>45335.29225741273</v>
      </c>
      <c r="S26" s="67"/>
    </row>
    <row r="27" spans="1:19" s="473" customFormat="1" ht="17.25" thickTop="1" thickBot="1">
      <c r="A27" s="706" t="s">
        <v>116</v>
      </c>
      <c r="B27" s="805"/>
      <c r="C27" s="707">
        <f ca="1">C22+C16+C26</f>
        <v>157080.54456604205</v>
      </c>
      <c r="D27" s="707">
        <f t="shared" ref="D27:R27" ca="1" si="3">D22+D16+D26</f>
        <v>29976.428571428572</v>
      </c>
      <c r="E27" s="707">
        <f t="shared" ca="1" si="3"/>
        <v>288217.57839565491</v>
      </c>
      <c r="F27" s="707">
        <f t="shared" si="3"/>
        <v>11357.608793339423</v>
      </c>
      <c r="G27" s="707">
        <f t="shared" ca="1" si="3"/>
        <v>32083.495391331719</v>
      </c>
      <c r="H27" s="707">
        <f t="shared" si="3"/>
        <v>159455.46956515501</v>
      </c>
      <c r="I27" s="707">
        <f t="shared" si="3"/>
        <v>27014.626335386038</v>
      </c>
      <c r="J27" s="707">
        <f t="shared" si="3"/>
        <v>0</v>
      </c>
      <c r="K27" s="707">
        <f t="shared" si="3"/>
        <v>286.93819122020784</v>
      </c>
      <c r="L27" s="707">
        <f t="shared" si="3"/>
        <v>0</v>
      </c>
      <c r="M27" s="707">
        <f t="shared" ca="1" si="3"/>
        <v>0</v>
      </c>
      <c r="N27" s="707">
        <f t="shared" si="3"/>
        <v>10111.0138929237</v>
      </c>
      <c r="O27" s="707">
        <f t="shared" ca="1" si="3"/>
        <v>46588.603614808249</v>
      </c>
      <c r="P27" s="707">
        <f t="shared" si="3"/>
        <v>465.87333333333333</v>
      </c>
      <c r="Q27" s="707">
        <f t="shared" si="3"/>
        <v>1067.7333333333333</v>
      </c>
      <c r="R27" s="707">
        <f t="shared" ca="1" si="3"/>
        <v>763705.91398395645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11641.543578130855</v>
      </c>
      <c r="D40" s="1013">
        <f ca="1">tertiair!C20</f>
        <v>0</v>
      </c>
      <c r="E40" s="1013">
        <f ca="1">tertiair!D20</f>
        <v>19650.606321944313</v>
      </c>
      <c r="F40" s="1013">
        <f>tertiair!E20</f>
        <v>327.6115825033603</v>
      </c>
      <c r="G40" s="1013">
        <f ca="1">tertiair!F20</f>
        <v>3263.7308567426735</v>
      </c>
      <c r="H40" s="1013">
        <f>tertiair!G20</f>
        <v>0</v>
      </c>
      <c r="I40" s="1013">
        <f>tertiair!H20</f>
        <v>0</v>
      </c>
      <c r="J40" s="1013">
        <f>tertiair!I20</f>
        <v>0</v>
      </c>
      <c r="K40" s="1013">
        <f>tertiair!J20</f>
        <v>9.6632237697876378E-2</v>
      </c>
      <c r="L40" s="1013">
        <f>tertiair!K20</f>
        <v>0</v>
      </c>
      <c r="M40" s="1013">
        <f ca="1">tertiair!L20</f>
        <v>0</v>
      </c>
      <c r="N40" s="1013">
        <f>tertiair!M20</f>
        <v>0</v>
      </c>
      <c r="O40" s="1013">
        <f ca="1">tertiair!N20</f>
        <v>0</v>
      </c>
      <c r="P40" s="1013">
        <f>tertiair!O20</f>
        <v>0</v>
      </c>
      <c r="Q40" s="774">
        <f>tertiair!P20</f>
        <v>0</v>
      </c>
      <c r="R40" s="850">
        <f t="shared" ca="1" si="4"/>
        <v>34883.5889715589</v>
      </c>
    </row>
    <row r="41" spans="1:18">
      <c r="A41" s="822" t="s">
        <v>225</v>
      </c>
      <c r="B41" s="829"/>
      <c r="C41" s="1013">
        <f ca="1">huishoudens!B12</f>
        <v>7511.1380015111226</v>
      </c>
      <c r="D41" s="1013">
        <f ca="1">huishoudens!C12</f>
        <v>0</v>
      </c>
      <c r="E41" s="1013">
        <f>huishoudens!D12</f>
        <v>22234.633981342169</v>
      </c>
      <c r="F41" s="1013">
        <f>huishoudens!E12</f>
        <v>1466.6937252685482</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31212.465708121843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8361.5224178032331</v>
      </c>
      <c r="D43" s="1013">
        <f ca="1">industrie!C22</f>
        <v>0</v>
      </c>
      <c r="E43" s="1013">
        <f>industrie!D22</f>
        <v>15494.018638424919</v>
      </c>
      <c r="F43" s="1013">
        <f>industrie!E22</f>
        <v>692.42691918718037</v>
      </c>
      <c r="G43" s="1013">
        <f>industrie!F22</f>
        <v>3147.0408306445447</v>
      </c>
      <c r="H43" s="1013">
        <f>industrie!G22</f>
        <v>0</v>
      </c>
      <c r="I43" s="1013">
        <f>industrie!H22</f>
        <v>0</v>
      </c>
      <c r="J43" s="1013">
        <f>industrie!I22</f>
        <v>0</v>
      </c>
      <c r="K43" s="1013">
        <f>industrie!J22</f>
        <v>2.0913026263207923</v>
      </c>
      <c r="L43" s="1013">
        <f>industrie!K22</f>
        <v>0</v>
      </c>
      <c r="M43" s="1013">
        <f>industrie!L22</f>
        <v>0</v>
      </c>
      <c r="N43" s="1013">
        <f>industrie!M22</f>
        <v>0</v>
      </c>
      <c r="O43" s="1013">
        <f>industrie!N22</f>
        <v>0</v>
      </c>
      <c r="P43" s="1013">
        <f>industrie!O22</f>
        <v>0</v>
      </c>
      <c r="Q43" s="774">
        <f>industrie!P22</f>
        <v>0</v>
      </c>
      <c r="R43" s="849">
        <f t="shared" ca="1" si="4"/>
        <v>27697.100108686202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27514.203997445209</v>
      </c>
      <c r="D46" s="732">
        <f t="shared" ref="D46:Q46" ca="1" si="5">SUM(D39:D45)</f>
        <v>0</v>
      </c>
      <c r="E46" s="732">
        <f t="shared" ca="1" si="5"/>
        <v>57379.2589417114</v>
      </c>
      <c r="F46" s="732">
        <f t="shared" si="5"/>
        <v>2486.7322269590886</v>
      </c>
      <c r="G46" s="732">
        <f t="shared" ca="1" si="5"/>
        <v>6410.7716873872178</v>
      </c>
      <c r="H46" s="732">
        <f t="shared" si="5"/>
        <v>0</v>
      </c>
      <c r="I46" s="732">
        <f t="shared" si="5"/>
        <v>0</v>
      </c>
      <c r="J46" s="732">
        <f t="shared" si="5"/>
        <v>0</v>
      </c>
      <c r="K46" s="732">
        <f t="shared" si="5"/>
        <v>2.1879348640186689</v>
      </c>
      <c r="L46" s="732">
        <f t="shared" si="5"/>
        <v>0</v>
      </c>
      <c r="M46" s="732">
        <f t="shared" ca="1" si="5"/>
        <v>0</v>
      </c>
      <c r="N46" s="732">
        <f t="shared" si="5"/>
        <v>0</v>
      </c>
      <c r="O46" s="732">
        <f t="shared" ca="1" si="5"/>
        <v>0</v>
      </c>
      <c r="P46" s="732">
        <f t="shared" si="5"/>
        <v>0</v>
      </c>
      <c r="Q46" s="732">
        <f t="shared" si="5"/>
        <v>0</v>
      </c>
      <c r="R46" s="732">
        <f ca="1">SUM(R39:R45)</f>
        <v>93793.154788366955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369.17406449192418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369.17406449192418</v>
      </c>
    </row>
    <row r="50" spans="1:18">
      <c r="A50" s="825" t="s">
        <v>307</v>
      </c>
      <c r="B50" s="835"/>
      <c r="C50" s="703">
        <f ca="1">transport!B18</f>
        <v>11.846652707257521</v>
      </c>
      <c r="D50" s="703">
        <f>transport!C18</f>
        <v>0</v>
      </c>
      <c r="E50" s="703">
        <f>transport!D18</f>
        <v>47.561975740886417</v>
      </c>
      <c r="F50" s="703">
        <f>transport!E18</f>
        <v>78.514983065090831</v>
      </c>
      <c r="G50" s="703">
        <f>transport!F18</f>
        <v>0</v>
      </c>
      <c r="H50" s="703">
        <f>transport!G18</f>
        <v>42205.436309404467</v>
      </c>
      <c r="I50" s="703">
        <f>transport!H18</f>
        <v>6726.6419575111231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49070.001878428826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11.846652707257521</v>
      </c>
      <c r="D52" s="732">
        <f t="shared" ref="D52:Q52" ca="1" si="6">SUM(D48:D51)</f>
        <v>0</v>
      </c>
      <c r="E52" s="732">
        <f t="shared" si="6"/>
        <v>47.561975740886417</v>
      </c>
      <c r="F52" s="732">
        <f t="shared" si="6"/>
        <v>78.514983065090831</v>
      </c>
      <c r="G52" s="732">
        <f t="shared" si="6"/>
        <v>0</v>
      </c>
      <c r="H52" s="732">
        <f t="shared" si="6"/>
        <v>42574.610373896394</v>
      </c>
      <c r="I52" s="732">
        <f t="shared" si="6"/>
        <v>6726.6419575111231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49439.175942920752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346.24586584842092</v>
      </c>
      <c r="D54" s="703">
        <f ca="1">+landbouw!C12</f>
        <v>6303.4184873949598</v>
      </c>
      <c r="E54" s="703">
        <f>+landbouw!D12</f>
        <v>0</v>
      </c>
      <c r="F54" s="703">
        <f>+landbouw!E12</f>
        <v>12.929986063869265</v>
      </c>
      <c r="G54" s="703">
        <f>+landbouw!F12</f>
        <v>2155.5215820983512</v>
      </c>
      <c r="H54" s="703">
        <f>+landbouw!G12</f>
        <v>0</v>
      </c>
      <c r="I54" s="703">
        <f>+landbouw!H12</f>
        <v>0</v>
      </c>
      <c r="J54" s="703">
        <f>+landbouw!I12</f>
        <v>0</v>
      </c>
      <c r="K54" s="703">
        <f>+landbouw!J12</f>
        <v>99.388184827934907</v>
      </c>
      <c r="L54" s="703">
        <f>+landbouw!K12</f>
        <v>0</v>
      </c>
      <c r="M54" s="703">
        <f>+landbouw!L12</f>
        <v>0</v>
      </c>
      <c r="N54" s="703">
        <f>+landbouw!M12</f>
        <v>0</v>
      </c>
      <c r="O54" s="703">
        <f>+landbouw!N12</f>
        <v>0</v>
      </c>
      <c r="P54" s="703">
        <f>+landbouw!O12</f>
        <v>0</v>
      </c>
      <c r="Q54" s="704">
        <f>+landbouw!P12</f>
        <v>0</v>
      </c>
      <c r="R54" s="731">
        <f ca="1">SUM(C54:Q54)</f>
        <v>8917.5041062335367</v>
      </c>
    </row>
    <row r="55" spans="1:18" ht="15" thickBot="1">
      <c r="A55" s="825" t="s">
        <v>836</v>
      </c>
      <c r="B55" s="835"/>
      <c r="C55" s="703">
        <f ca="1">C25*'EF ele_warmte'!B12</f>
        <v>193.63835112578892</v>
      </c>
      <c r="D55" s="703"/>
      <c r="E55" s="703">
        <f>E25*EF_CO2_aardgas</f>
        <v>793.12991847000001</v>
      </c>
      <c r="F55" s="703"/>
      <c r="G55" s="703"/>
      <c r="H55" s="703"/>
      <c r="I55" s="703"/>
      <c r="J55" s="703"/>
      <c r="K55" s="703"/>
      <c r="L55" s="703"/>
      <c r="M55" s="703"/>
      <c r="N55" s="703"/>
      <c r="O55" s="703"/>
      <c r="P55" s="703"/>
      <c r="Q55" s="704"/>
      <c r="R55" s="731">
        <f ca="1">SUM(C55:Q55)</f>
        <v>986.76826959578898</v>
      </c>
    </row>
    <row r="56" spans="1:18" ht="15.75" thickBot="1">
      <c r="A56" s="823" t="s">
        <v>837</v>
      </c>
      <c r="B56" s="836"/>
      <c r="C56" s="732">
        <f ca="1">SUM(C54:C55)</f>
        <v>539.88421697420983</v>
      </c>
      <c r="D56" s="732">
        <f t="shared" ref="D56:Q56" ca="1" si="7">SUM(D54:D55)</f>
        <v>6303.4184873949598</v>
      </c>
      <c r="E56" s="732">
        <f t="shared" si="7"/>
        <v>793.12991847000001</v>
      </c>
      <c r="F56" s="732">
        <f t="shared" si="7"/>
        <v>12.929986063869265</v>
      </c>
      <c r="G56" s="732">
        <f t="shared" si="7"/>
        <v>2155.5215820983512</v>
      </c>
      <c r="H56" s="732">
        <f t="shared" si="7"/>
        <v>0</v>
      </c>
      <c r="I56" s="732">
        <f t="shared" si="7"/>
        <v>0</v>
      </c>
      <c r="J56" s="732">
        <f t="shared" si="7"/>
        <v>0</v>
      </c>
      <c r="K56" s="732">
        <f t="shared" si="7"/>
        <v>99.388184827934907</v>
      </c>
      <c r="L56" s="732">
        <f t="shared" si="7"/>
        <v>0</v>
      </c>
      <c r="M56" s="732">
        <f t="shared" si="7"/>
        <v>0</v>
      </c>
      <c r="N56" s="732">
        <f t="shared" si="7"/>
        <v>0</v>
      </c>
      <c r="O56" s="732">
        <f t="shared" si="7"/>
        <v>0</v>
      </c>
      <c r="P56" s="732">
        <f t="shared" si="7"/>
        <v>0</v>
      </c>
      <c r="Q56" s="733">
        <f t="shared" si="7"/>
        <v>0</v>
      </c>
      <c r="R56" s="734">
        <f ca="1">SUM(R54:R55)</f>
        <v>9904.272375829325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28065.934867126674</v>
      </c>
      <c r="D61" s="740">
        <f t="shared" ref="D61:Q61" ca="1" si="8">D46+D52+D56</f>
        <v>6303.4184873949598</v>
      </c>
      <c r="E61" s="740">
        <f t="shared" ca="1" si="8"/>
        <v>58219.950835922282</v>
      </c>
      <c r="F61" s="740">
        <f t="shared" si="8"/>
        <v>2578.1771960880487</v>
      </c>
      <c r="G61" s="740">
        <f t="shared" ca="1" si="8"/>
        <v>8566.2932694855699</v>
      </c>
      <c r="H61" s="740">
        <f t="shared" si="8"/>
        <v>42574.610373896394</v>
      </c>
      <c r="I61" s="740">
        <f t="shared" si="8"/>
        <v>6726.6419575111231</v>
      </c>
      <c r="J61" s="740">
        <f t="shared" si="8"/>
        <v>0</v>
      </c>
      <c r="K61" s="740">
        <f t="shared" si="8"/>
        <v>101.57611969195358</v>
      </c>
      <c r="L61" s="740">
        <f t="shared" si="8"/>
        <v>0</v>
      </c>
      <c r="M61" s="740">
        <f t="shared" ca="1" si="8"/>
        <v>0</v>
      </c>
      <c r="N61" s="740">
        <f t="shared" si="8"/>
        <v>0</v>
      </c>
      <c r="O61" s="740">
        <f t="shared" ca="1" si="8"/>
        <v>0</v>
      </c>
      <c r="P61" s="740">
        <f t="shared" si="8"/>
        <v>0</v>
      </c>
      <c r="Q61" s="740">
        <f t="shared" si="8"/>
        <v>0</v>
      </c>
      <c r="R61" s="740">
        <f ca="1">R46+R52+R56</f>
        <v>153136.60310711703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0.17867225342681947</v>
      </c>
      <c r="D63" s="781">
        <f t="shared" ca="1" si="9"/>
        <v>0.21027916892684595</v>
      </c>
      <c r="E63" s="1024">
        <f t="shared" ca="1" si="9"/>
        <v>0.20199999999999996</v>
      </c>
      <c r="F63" s="781">
        <f t="shared" si="9"/>
        <v>0.22699999999999998</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10506.933564053257</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17219.509527100974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2416.5000000000005</v>
      </c>
      <c r="C76" s="750">
        <f>'lokale energieproductie'!B8*IFERROR(SUM(D76:H76)/SUM(D76:O76),0)</f>
        <v>18567</v>
      </c>
      <c r="D76" s="1034">
        <f>'lokale energieproductie'!C8</f>
        <v>21843.529411764706</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2842.9411764705883</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4412.3929411764711</v>
      </c>
      <c r="R76" s="852">
        <v>0</v>
      </c>
    </row>
    <row r="77" spans="1:18" ht="30.75" thickBot="1">
      <c r="A77" s="753" t="s">
        <v>353</v>
      </c>
      <c r="B77" s="750">
        <f>'lokale energieproductie'!B9*IFERROR(SUM(I77:O77)/SUM(D77:O77),0)</f>
        <v>1341</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3831.4285714285716</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31483.943091154229</v>
      </c>
      <c r="C78" s="755">
        <f>SUM(C72:C77)</f>
        <v>18567</v>
      </c>
      <c r="D78" s="756">
        <f t="shared" ref="D78:H78" si="10">SUM(D76:D77)</f>
        <v>21843.529411764706</v>
      </c>
      <c r="E78" s="756">
        <f t="shared" si="10"/>
        <v>0</v>
      </c>
      <c r="F78" s="756">
        <f t="shared" si="10"/>
        <v>0</v>
      </c>
      <c r="G78" s="756">
        <f t="shared" si="10"/>
        <v>0</v>
      </c>
      <c r="H78" s="756">
        <f t="shared" si="10"/>
        <v>0</v>
      </c>
      <c r="I78" s="756">
        <f>SUM(I76:I77)</f>
        <v>0</v>
      </c>
      <c r="J78" s="756">
        <f>SUM(J76:J77)</f>
        <v>6674.3697478991598</v>
      </c>
      <c r="K78" s="756">
        <f t="shared" ref="K78:L78" si="11">SUM(K76:K77)</f>
        <v>0</v>
      </c>
      <c r="L78" s="756">
        <f t="shared" si="11"/>
        <v>0</v>
      </c>
      <c r="M78" s="756">
        <f>SUM(M76:M77)</f>
        <v>0</v>
      </c>
      <c r="N78" s="756">
        <f>SUM(N76:N77)</f>
        <v>0</v>
      </c>
      <c r="O78" s="860">
        <f>SUM(O76:O77)</f>
        <v>0</v>
      </c>
      <c r="P78" s="757">
        <v>0</v>
      </c>
      <c r="Q78" s="757">
        <f>SUM(Q76:Q77)</f>
        <v>4412.3929411764711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3452.1428571428569</v>
      </c>
      <c r="C87" s="766">
        <f>'lokale energieproductie'!B17*IFERROR(SUM(D87:H87)/SUM(D87:O87),0)</f>
        <v>26524.285714285714</v>
      </c>
      <c r="D87" s="777">
        <f>'lokale energieproductie'!C17</f>
        <v>31205.042016806728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4061.3445378151264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6303.4184873949598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3452.1428571428569</v>
      </c>
      <c r="C90" s="755">
        <f>SUM(C87:C89)</f>
        <v>26524.285714285714</v>
      </c>
      <c r="D90" s="755">
        <f t="shared" ref="D90:H90" si="12">SUM(D87:D89)</f>
        <v>31205.042016806728</v>
      </c>
      <c r="E90" s="755">
        <f t="shared" si="12"/>
        <v>0</v>
      </c>
      <c r="F90" s="755">
        <f t="shared" si="12"/>
        <v>0</v>
      </c>
      <c r="G90" s="755">
        <f t="shared" si="12"/>
        <v>0</v>
      </c>
      <c r="H90" s="755">
        <f t="shared" si="12"/>
        <v>0</v>
      </c>
      <c r="I90" s="755">
        <f>SUM(I87:I89)</f>
        <v>0</v>
      </c>
      <c r="J90" s="755">
        <f>SUM(J87:J89)</f>
        <v>4061.3445378151264</v>
      </c>
      <c r="K90" s="755">
        <f t="shared" ref="K90:L90" si="13">SUM(K87:K89)</f>
        <v>0</v>
      </c>
      <c r="L90" s="755">
        <f t="shared" si="13"/>
        <v>0</v>
      </c>
      <c r="M90" s="755">
        <f>SUM(M87:M89)</f>
        <v>0</v>
      </c>
      <c r="N90" s="755">
        <f>SUM(N87:N89)</f>
        <v>0</v>
      </c>
      <c r="O90" s="755">
        <f>SUM(O87:O89)</f>
        <v>0</v>
      </c>
      <c r="P90" s="755">
        <v>0</v>
      </c>
      <c r="Q90" s="755">
        <f>SUM(Q87:Q89)</f>
        <v>6303.4184873949598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10506.933564053257</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17219.509527100974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20983.5</v>
      </c>
      <c r="C8" s="570">
        <f>B101</f>
        <v>21843.529411764706</v>
      </c>
      <c r="D8" s="1044"/>
      <c r="E8" s="1044">
        <f>E101</f>
        <v>0</v>
      </c>
      <c r="F8" s="1045"/>
      <c r="G8" s="571"/>
      <c r="H8" s="1044">
        <f>I101</f>
        <v>0</v>
      </c>
      <c r="I8" s="1044">
        <f>G101+F101</f>
        <v>0</v>
      </c>
      <c r="J8" s="1044">
        <f>H101+D101+C101</f>
        <v>2842.9411764705883</v>
      </c>
      <c r="K8" s="1044"/>
      <c r="L8" s="1044"/>
      <c r="M8" s="1044"/>
      <c r="N8" s="572"/>
      <c r="O8" s="573">
        <f>C8*$C$12+D8*$D$12+E8*$E$12+F8*$F$12+G8*$G$12+H8*$H$12+I8*$I$12+J8*$J$12</f>
        <v>4412.3929411764711</v>
      </c>
      <c r="P8" s="1238"/>
      <c r="Q8" s="1239"/>
      <c r="S8" s="1007"/>
      <c r="T8" s="1275"/>
      <c r="U8" s="1275"/>
    </row>
    <row r="9" spans="1:21" s="559" customFormat="1" ht="17.45" customHeight="1" thickBot="1">
      <c r="A9" s="574" t="s">
        <v>248</v>
      </c>
      <c r="B9" s="575">
        <f>N89+'Eigen informatie GS &amp; warmtenet'!B12</f>
        <v>1341</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50050.943091154229</v>
      </c>
      <c r="C10" s="583">
        <f t="shared" ref="C10:L10" si="0">SUM(C8:C9)</f>
        <v>21843.529411764706</v>
      </c>
      <c r="D10" s="583">
        <f t="shared" si="0"/>
        <v>0</v>
      </c>
      <c r="E10" s="583">
        <f t="shared" si="0"/>
        <v>0</v>
      </c>
      <c r="F10" s="583">
        <f t="shared" si="0"/>
        <v>0</v>
      </c>
      <c r="G10" s="583">
        <f t="shared" si="0"/>
        <v>0</v>
      </c>
      <c r="H10" s="583">
        <f t="shared" si="0"/>
        <v>0</v>
      </c>
      <c r="I10" s="583">
        <f t="shared" si="0"/>
        <v>0</v>
      </c>
      <c r="J10" s="583">
        <f t="shared" si="0"/>
        <v>6674.3697478991598</v>
      </c>
      <c r="K10" s="583">
        <f t="shared" si="0"/>
        <v>0</v>
      </c>
      <c r="L10" s="583">
        <f t="shared" si="0"/>
        <v>0</v>
      </c>
      <c r="M10" s="1047"/>
      <c r="N10" s="1047"/>
      <c r="O10" s="584">
        <f>SUM(O4:O9)</f>
        <v>4412.3929411764711</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29976.428571428572</v>
      </c>
      <c r="C17" s="595">
        <f>B102</f>
        <v>31205.042016806728</v>
      </c>
      <c r="D17" s="596"/>
      <c r="E17" s="596">
        <f>E102</f>
        <v>0</v>
      </c>
      <c r="F17" s="1050"/>
      <c r="G17" s="597"/>
      <c r="H17" s="595">
        <f>I102</f>
        <v>0</v>
      </c>
      <c r="I17" s="596">
        <f>G102+F102</f>
        <v>0</v>
      </c>
      <c r="J17" s="596">
        <f>H102+D102+C102</f>
        <v>4061.3445378151264</v>
      </c>
      <c r="K17" s="596"/>
      <c r="L17" s="596"/>
      <c r="M17" s="596"/>
      <c r="N17" s="1051"/>
      <c r="O17" s="598">
        <f>C17*$C$22+E17*$E$22+H17*$H$22+I17*$I$22+J17*$J$22+D17*$D$22+F17*$F$22+G17*$G$22+K17*$K$22+L17*$L$22</f>
        <v>6303.4184873949598</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29976.428571428572</v>
      </c>
      <c r="C20" s="582">
        <f>SUM(C17:C19)</f>
        <v>31205.042016806728</v>
      </c>
      <c r="D20" s="582">
        <f t="shared" ref="D20:L20" si="1">SUM(D17:D19)</f>
        <v>0</v>
      </c>
      <c r="E20" s="582">
        <f t="shared" si="1"/>
        <v>0</v>
      </c>
      <c r="F20" s="582">
        <f t="shared" si="1"/>
        <v>0</v>
      </c>
      <c r="G20" s="582">
        <f t="shared" si="1"/>
        <v>0</v>
      </c>
      <c r="H20" s="582">
        <f t="shared" si="1"/>
        <v>0</v>
      </c>
      <c r="I20" s="582">
        <f t="shared" si="1"/>
        <v>0</v>
      </c>
      <c r="J20" s="582">
        <f t="shared" si="1"/>
        <v>4061.3445378151264</v>
      </c>
      <c r="K20" s="582">
        <f t="shared" si="1"/>
        <v>0</v>
      </c>
      <c r="L20" s="582">
        <f t="shared" si="1"/>
        <v>0</v>
      </c>
      <c r="M20" s="582"/>
      <c r="N20" s="582"/>
      <c r="O20" s="601">
        <f>SUM(O17:O19)</f>
        <v>6303.4184873949598</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34013</v>
      </c>
      <c r="C28" s="796">
        <v>8531</v>
      </c>
      <c r="D28" s="653" t="s">
        <v>881</v>
      </c>
      <c r="E28" s="652" t="s">
        <v>882</v>
      </c>
      <c r="F28" s="652" t="s">
        <v>883</v>
      </c>
      <c r="G28" s="652" t="s">
        <v>884</v>
      </c>
      <c r="H28" s="652" t="s">
        <v>885</v>
      </c>
      <c r="I28" s="652" t="s">
        <v>882</v>
      </c>
      <c r="J28" s="795">
        <v>39652</v>
      </c>
      <c r="K28" s="795">
        <v>39652</v>
      </c>
      <c r="L28" s="652" t="s">
        <v>886</v>
      </c>
      <c r="M28" s="652">
        <v>2000</v>
      </c>
      <c r="N28" s="652">
        <v>9000</v>
      </c>
      <c r="O28" s="652">
        <v>12857.142857142857</v>
      </c>
      <c r="P28" s="652">
        <v>25714.285714285717</v>
      </c>
      <c r="Q28" s="652">
        <v>0</v>
      </c>
      <c r="R28" s="652">
        <v>0</v>
      </c>
      <c r="S28" s="652">
        <v>0</v>
      </c>
      <c r="T28" s="652">
        <v>0</v>
      </c>
      <c r="U28" s="652">
        <v>0</v>
      </c>
      <c r="V28" s="652">
        <v>0</v>
      </c>
      <c r="W28" s="652">
        <v>0</v>
      </c>
      <c r="X28" s="652">
        <v>10</v>
      </c>
      <c r="Y28" s="652" t="s">
        <v>112</v>
      </c>
      <c r="Z28" s="654" t="s">
        <v>112</v>
      </c>
    </row>
    <row r="29" spans="1:26" s="606" customFormat="1" ht="38.25">
      <c r="A29" s="605"/>
      <c r="B29" s="796">
        <v>34013</v>
      </c>
      <c r="C29" s="796">
        <v>8531</v>
      </c>
      <c r="D29" s="653" t="s">
        <v>887</v>
      </c>
      <c r="E29" s="652" t="s">
        <v>888</v>
      </c>
      <c r="F29" s="652" t="s">
        <v>889</v>
      </c>
      <c r="G29" s="652" t="s">
        <v>884</v>
      </c>
      <c r="H29" s="652" t="s">
        <v>885</v>
      </c>
      <c r="I29" s="652" t="s">
        <v>890</v>
      </c>
      <c r="J29" s="795">
        <v>40345</v>
      </c>
      <c r="K29" s="795">
        <v>40345</v>
      </c>
      <c r="L29" s="652" t="s">
        <v>886</v>
      </c>
      <c r="M29" s="652">
        <v>2056</v>
      </c>
      <c r="N29" s="652">
        <v>9252</v>
      </c>
      <c r="O29" s="652">
        <v>13217.142857142857</v>
      </c>
      <c r="P29" s="652">
        <v>26434.285714285717</v>
      </c>
      <c r="Q29" s="652">
        <v>0</v>
      </c>
      <c r="R29" s="652">
        <v>0</v>
      </c>
      <c r="S29" s="652">
        <v>0</v>
      </c>
      <c r="T29" s="652">
        <v>0</v>
      </c>
      <c r="U29" s="652">
        <v>0</v>
      </c>
      <c r="V29" s="652">
        <v>0</v>
      </c>
      <c r="W29" s="652">
        <v>0</v>
      </c>
      <c r="X29" s="652">
        <v>10</v>
      </c>
      <c r="Y29" s="652" t="s">
        <v>112</v>
      </c>
      <c r="Z29" s="654" t="s">
        <v>112</v>
      </c>
    </row>
    <row r="30" spans="1:26" s="606" customFormat="1" ht="25.5">
      <c r="A30" s="605"/>
      <c r="B30" s="796">
        <v>34013</v>
      </c>
      <c r="C30" s="796">
        <v>8530</v>
      </c>
      <c r="D30" s="653" t="s">
        <v>891</v>
      </c>
      <c r="E30" s="652" t="s">
        <v>892</v>
      </c>
      <c r="F30" s="652" t="s">
        <v>893</v>
      </c>
      <c r="G30" s="652" t="s">
        <v>884</v>
      </c>
      <c r="H30" s="652" t="s">
        <v>885</v>
      </c>
      <c r="I30" s="652" t="s">
        <v>894</v>
      </c>
      <c r="J30" s="795">
        <v>39436</v>
      </c>
      <c r="K30" s="795">
        <v>40974</v>
      </c>
      <c r="L30" s="652" t="s">
        <v>886</v>
      </c>
      <c r="M30" s="652">
        <v>537</v>
      </c>
      <c r="N30" s="652">
        <v>2416.5</v>
      </c>
      <c r="O30" s="652">
        <v>3452.1428571428573</v>
      </c>
      <c r="P30" s="652">
        <v>0</v>
      </c>
      <c r="Q30" s="652">
        <v>6904.2857142857147</v>
      </c>
      <c r="R30" s="652">
        <v>0</v>
      </c>
      <c r="S30" s="652">
        <v>0</v>
      </c>
      <c r="T30" s="652">
        <v>0</v>
      </c>
      <c r="U30" s="652">
        <v>0</v>
      </c>
      <c r="V30" s="652">
        <v>0</v>
      </c>
      <c r="W30" s="652">
        <v>0</v>
      </c>
      <c r="X30" s="652">
        <v>10</v>
      </c>
      <c r="Y30" s="652" t="s">
        <v>112</v>
      </c>
      <c r="Z30" s="654" t="s">
        <v>112</v>
      </c>
    </row>
    <row r="31" spans="1:26" s="606" customFormat="1" ht="25.5">
      <c r="A31" s="605"/>
      <c r="B31" s="796">
        <v>34013</v>
      </c>
      <c r="C31" s="796">
        <v>8530</v>
      </c>
      <c r="D31" s="653" t="s">
        <v>895</v>
      </c>
      <c r="E31" s="652" t="s">
        <v>896</v>
      </c>
      <c r="F31" s="652" t="s">
        <v>897</v>
      </c>
      <c r="G31" s="652" t="s">
        <v>884</v>
      </c>
      <c r="H31" s="652" t="s">
        <v>885</v>
      </c>
      <c r="I31" s="652" t="s">
        <v>898</v>
      </c>
      <c r="J31" s="795">
        <v>41253</v>
      </c>
      <c r="K31" s="795">
        <v>41037</v>
      </c>
      <c r="L31" s="652" t="s">
        <v>886</v>
      </c>
      <c r="M31" s="652">
        <v>70</v>
      </c>
      <c r="N31" s="652">
        <v>315.00000000000006</v>
      </c>
      <c r="O31" s="652">
        <v>450.00000000000011</v>
      </c>
      <c r="P31" s="652">
        <v>900.00000000000023</v>
      </c>
      <c r="Q31" s="652">
        <v>0</v>
      </c>
      <c r="R31" s="652">
        <v>0</v>
      </c>
      <c r="S31" s="652">
        <v>0</v>
      </c>
      <c r="T31" s="652">
        <v>0</v>
      </c>
      <c r="U31" s="652">
        <v>0</v>
      </c>
      <c r="V31" s="652">
        <v>0</v>
      </c>
      <c r="W31" s="652">
        <v>0</v>
      </c>
      <c r="X31" s="652">
        <v>10</v>
      </c>
      <c r="Y31" s="652" t="s">
        <v>112</v>
      </c>
      <c r="Z31" s="654" t="s">
        <v>112</v>
      </c>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4663</v>
      </c>
      <c r="N58" s="610">
        <f>SUM(N28:N57)</f>
        <v>20983.5</v>
      </c>
      <c r="O58" s="610">
        <f t="shared" ref="O58:W58" si="2">SUM(O28:O57)</f>
        <v>29976.428571428572</v>
      </c>
      <c r="P58" s="610">
        <f t="shared" si="2"/>
        <v>53048.571428571435</v>
      </c>
      <c r="Q58" s="610">
        <f t="shared" si="2"/>
        <v>6904.2857142857147</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4663</v>
      </c>
      <c r="N61" s="615">
        <f t="shared" si="4"/>
        <v>20983.5</v>
      </c>
      <c r="O61" s="615">
        <f t="shared" si="4"/>
        <v>29976.428571428572</v>
      </c>
      <c r="P61" s="615">
        <f t="shared" si="4"/>
        <v>53048.571428571435</v>
      </c>
      <c r="Q61" s="615">
        <f t="shared" si="4"/>
        <v>6904.2857142857147</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34013</v>
      </c>
      <c r="C64" s="796">
        <v>8530</v>
      </c>
      <c r="D64" s="655" t="s">
        <v>899</v>
      </c>
      <c r="E64" s="655" t="s">
        <v>900</v>
      </c>
      <c r="F64" s="655" t="s">
        <v>901</v>
      </c>
      <c r="G64" s="655" t="s">
        <v>902</v>
      </c>
      <c r="H64" s="655" t="s">
        <v>903</v>
      </c>
      <c r="I64" s="655" t="s">
        <v>904</v>
      </c>
      <c r="J64" s="795">
        <v>39156</v>
      </c>
      <c r="K64" s="795">
        <v>39173</v>
      </c>
      <c r="L64" s="655" t="s">
        <v>886</v>
      </c>
      <c r="M64" s="655">
        <v>298</v>
      </c>
      <c r="N64" s="655">
        <v>1341</v>
      </c>
      <c r="O64" s="655">
        <v>0</v>
      </c>
      <c r="P64" s="655">
        <v>0</v>
      </c>
      <c r="Q64" s="655">
        <v>3831.4285714285716</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298</v>
      </c>
      <c r="N89" s="610">
        <f t="shared" ref="N89:W89" si="5">SUM(N64:N88)</f>
        <v>1341</v>
      </c>
      <c r="O89" s="610">
        <f t="shared" si="5"/>
        <v>0</v>
      </c>
      <c r="P89" s="610">
        <f t="shared" si="5"/>
        <v>0</v>
      </c>
      <c r="Q89" s="610">
        <f t="shared" si="5"/>
        <v>3831.4285714285716</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298</v>
      </c>
      <c r="N91" s="610">
        <f t="shared" si="7"/>
        <v>1341</v>
      </c>
      <c r="O91" s="610">
        <f t="shared" si="7"/>
        <v>0</v>
      </c>
      <c r="P91" s="610">
        <f t="shared" si="7"/>
        <v>0</v>
      </c>
      <c r="Q91" s="610">
        <f t="shared" si="7"/>
        <v>3831.4285714285716</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21843.529411764706</v>
      </c>
      <c r="C101" s="644">
        <f t="shared" si="9"/>
        <v>2842.9411764705883</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31205.042016806728</v>
      </c>
      <c r="C102" s="647">
        <f t="shared" si="10"/>
        <v>4061.3445378151264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42038.636987289865</v>
      </c>
      <c r="C4" s="477">
        <f>huishoudens!C8</f>
        <v>0</v>
      </c>
      <c r="D4" s="477">
        <f>huishoudens!D8</f>
        <v>110072.44545218894</v>
      </c>
      <c r="E4" s="477">
        <f>huishoudens!E8</f>
        <v>6461.2058381874367</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22019.438739530073</v>
      </c>
      <c r="O4" s="477">
        <f>huishoudens!O8</f>
        <v>461.18333333333334</v>
      </c>
      <c r="P4" s="478">
        <f>huishoudens!P8</f>
        <v>934.26666666666665</v>
      </c>
      <c r="Q4" s="479">
        <f>SUM(B4:P4)</f>
        <v>181987.17701719629</v>
      </c>
    </row>
    <row r="5" spans="1:17">
      <c r="A5" s="476" t="s">
        <v>156</v>
      </c>
      <c r="B5" s="477">
        <f ca="1">tertiair!B16</f>
        <v>62875.186790999993</v>
      </c>
      <c r="C5" s="477">
        <f ca="1">tertiair!C16</f>
        <v>0</v>
      </c>
      <c r="D5" s="477">
        <f ca="1">tertiair!D16</f>
        <v>97280.229316555997</v>
      </c>
      <c r="E5" s="477">
        <f>tertiair!E16</f>
        <v>1443.2228304112789</v>
      </c>
      <c r="F5" s="477">
        <f ca="1">tertiair!F16</f>
        <v>12223.711073942597</v>
      </c>
      <c r="G5" s="477">
        <f>tertiair!G16</f>
        <v>0</v>
      </c>
      <c r="H5" s="477">
        <f>tertiair!H16</f>
        <v>0</v>
      </c>
      <c r="I5" s="477">
        <f>tertiair!I16</f>
        <v>0</v>
      </c>
      <c r="J5" s="477">
        <f>tertiair!J16</f>
        <v>0.272972422875357</v>
      </c>
      <c r="K5" s="477">
        <f>tertiair!K16</f>
        <v>0</v>
      </c>
      <c r="L5" s="477">
        <f ca="1">tertiair!L16</f>
        <v>0</v>
      </c>
      <c r="M5" s="477">
        <f>tertiair!M16</f>
        <v>0</v>
      </c>
      <c r="N5" s="477">
        <f ca="1">tertiair!N16</f>
        <v>6918.7135117802727</v>
      </c>
      <c r="O5" s="477">
        <f>tertiair!O16</f>
        <v>4.6900000000000004</v>
      </c>
      <c r="P5" s="478">
        <f>tertiair!P16</f>
        <v>133.46666666666667</v>
      </c>
      <c r="Q5" s="476">
        <f t="shared" ref="Q5:Q14" ca="1" si="0">SUM(B5:P5)</f>
        <v>180879.49316277972</v>
      </c>
    </row>
    <row r="6" spans="1:17">
      <c r="A6" s="476" t="s">
        <v>194</v>
      </c>
      <c r="B6" s="477">
        <f>'openbare verlichting'!B8</f>
        <v>2280.6689999999999</v>
      </c>
      <c r="C6" s="477"/>
      <c r="D6" s="477"/>
      <c r="E6" s="477"/>
      <c r="F6" s="477"/>
      <c r="G6" s="477"/>
      <c r="H6" s="477"/>
      <c r="I6" s="477"/>
      <c r="J6" s="477"/>
      <c r="K6" s="477"/>
      <c r="L6" s="477"/>
      <c r="M6" s="477"/>
      <c r="N6" s="477"/>
      <c r="O6" s="477"/>
      <c r="P6" s="478"/>
      <c r="Q6" s="476">
        <f t="shared" si="0"/>
        <v>2280.6689999999999</v>
      </c>
    </row>
    <row r="7" spans="1:17">
      <c r="A7" s="476" t="s">
        <v>112</v>
      </c>
      <c r="B7" s="477">
        <f>landbouw!B8</f>
        <v>1937.882683</v>
      </c>
      <c r="C7" s="477">
        <f>landbouw!C8</f>
        <v>29976.428571428572</v>
      </c>
      <c r="D7" s="477">
        <f>landbouw!D8</f>
        <v>0</v>
      </c>
      <c r="E7" s="477">
        <f>landbouw!E8</f>
        <v>56.960291030261075</v>
      </c>
      <c r="F7" s="477">
        <f>landbouw!F8</f>
        <v>8073.1145396941984</v>
      </c>
      <c r="G7" s="477">
        <f>landbouw!G8</f>
        <v>0</v>
      </c>
      <c r="H7" s="477">
        <f>landbouw!H8</f>
        <v>0</v>
      </c>
      <c r="I7" s="477">
        <f>landbouw!I8</f>
        <v>0</v>
      </c>
      <c r="J7" s="477">
        <f>landbouw!J8</f>
        <v>280.75758425970315</v>
      </c>
      <c r="K7" s="477">
        <f>landbouw!K8</f>
        <v>0</v>
      </c>
      <c r="L7" s="477">
        <f>landbouw!L8</f>
        <v>0</v>
      </c>
      <c r="M7" s="477">
        <f>landbouw!M8</f>
        <v>0</v>
      </c>
      <c r="N7" s="477">
        <f>landbouw!N8</f>
        <v>0</v>
      </c>
      <c r="O7" s="477">
        <f>landbouw!O8</f>
        <v>0</v>
      </c>
      <c r="P7" s="478">
        <f>landbouw!P8</f>
        <v>0</v>
      </c>
      <c r="Q7" s="476">
        <f t="shared" si="0"/>
        <v>40325.143669412733</v>
      </c>
    </row>
    <row r="8" spans="1:17">
      <c r="A8" s="476" t="s">
        <v>635</v>
      </c>
      <c r="B8" s="477">
        <f>industrie!B18</f>
        <v>46798.102432999993</v>
      </c>
      <c r="C8" s="477">
        <f>industrie!C18</f>
        <v>0</v>
      </c>
      <c r="D8" s="477">
        <f>industrie!D18</f>
        <v>76703.062566459994</v>
      </c>
      <c r="E8" s="477">
        <f>industrie!E18</f>
        <v>3050.3388510448472</v>
      </c>
      <c r="F8" s="477">
        <f>industrie!F18</f>
        <v>11786.669777694924</v>
      </c>
      <c r="G8" s="477">
        <f>industrie!G18</f>
        <v>0</v>
      </c>
      <c r="H8" s="477">
        <f>industrie!H18</f>
        <v>0</v>
      </c>
      <c r="I8" s="477">
        <f>industrie!I18</f>
        <v>0</v>
      </c>
      <c r="J8" s="477">
        <f>industrie!J18</f>
        <v>5.9076345376293578</v>
      </c>
      <c r="K8" s="477">
        <f>industrie!K18</f>
        <v>0</v>
      </c>
      <c r="L8" s="477">
        <f>industrie!L18</f>
        <v>0</v>
      </c>
      <c r="M8" s="477">
        <f>industrie!M18</f>
        <v>0</v>
      </c>
      <c r="N8" s="477">
        <f>industrie!N18</f>
        <v>17650.451363497908</v>
      </c>
      <c r="O8" s="477">
        <f>industrie!O18</f>
        <v>0</v>
      </c>
      <c r="P8" s="478">
        <f>industrie!P18</f>
        <v>0</v>
      </c>
      <c r="Q8" s="476">
        <f t="shared" si="0"/>
        <v>155994.5326262353</v>
      </c>
    </row>
    <row r="9" spans="1:17" s="482" customFormat="1">
      <c r="A9" s="480" t="s">
        <v>561</v>
      </c>
      <c r="B9" s="481">
        <f>transport!B14</f>
        <v>66.303818752191802</v>
      </c>
      <c r="C9" s="481">
        <f>transport!C14</f>
        <v>0</v>
      </c>
      <c r="D9" s="481">
        <f>transport!D14</f>
        <v>235.45532544993273</v>
      </c>
      <c r="E9" s="481">
        <f>transport!E14</f>
        <v>345.88098266559837</v>
      </c>
      <c r="F9" s="481">
        <f>transport!F14</f>
        <v>0</v>
      </c>
      <c r="G9" s="481">
        <f>transport!G14</f>
        <v>158072.79516630885</v>
      </c>
      <c r="H9" s="481">
        <f>transport!H14</f>
        <v>27014.626335386038</v>
      </c>
      <c r="I9" s="481">
        <f>transport!I14</f>
        <v>0</v>
      </c>
      <c r="J9" s="481">
        <f>transport!J14</f>
        <v>0</v>
      </c>
      <c r="K9" s="481">
        <f>transport!K14</f>
        <v>0</v>
      </c>
      <c r="L9" s="481">
        <f>transport!L14</f>
        <v>0</v>
      </c>
      <c r="M9" s="481">
        <f>transport!M14</f>
        <v>10032.484090990987</v>
      </c>
      <c r="N9" s="481">
        <f>transport!N14</f>
        <v>0</v>
      </c>
      <c r="O9" s="481">
        <f>transport!O14</f>
        <v>0</v>
      </c>
      <c r="P9" s="481">
        <f>transport!P14</f>
        <v>0</v>
      </c>
      <c r="Q9" s="480">
        <f>SUM(B9:P9)</f>
        <v>195767.5457195536</v>
      </c>
    </row>
    <row r="10" spans="1:17">
      <c r="A10" s="476" t="s">
        <v>551</v>
      </c>
      <c r="B10" s="477">
        <f>transport!B54</f>
        <v>0</v>
      </c>
      <c r="C10" s="477">
        <f>transport!C54</f>
        <v>0</v>
      </c>
      <c r="D10" s="477">
        <f>transport!D54</f>
        <v>0</v>
      </c>
      <c r="E10" s="477">
        <f>transport!E54</f>
        <v>0</v>
      </c>
      <c r="F10" s="477">
        <f>transport!F54</f>
        <v>0</v>
      </c>
      <c r="G10" s="477">
        <f>transport!G54</f>
        <v>1382.6743988461578</v>
      </c>
      <c r="H10" s="477">
        <f>transport!H54</f>
        <v>0</v>
      </c>
      <c r="I10" s="477">
        <f>transport!I54</f>
        <v>0</v>
      </c>
      <c r="J10" s="477">
        <f>transport!J54</f>
        <v>0</v>
      </c>
      <c r="K10" s="477">
        <f>transport!K54</f>
        <v>0</v>
      </c>
      <c r="L10" s="477">
        <f>transport!L54</f>
        <v>0</v>
      </c>
      <c r="M10" s="477">
        <f>transport!M54</f>
        <v>78.52980193271307</v>
      </c>
      <c r="N10" s="477">
        <f>transport!N54</f>
        <v>0</v>
      </c>
      <c r="O10" s="477">
        <f>transport!O54</f>
        <v>0</v>
      </c>
      <c r="P10" s="478">
        <f>transport!P54</f>
        <v>0</v>
      </c>
      <c r="Q10" s="476">
        <f t="shared" si="0"/>
        <v>1461.2042007788709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1083.762853</v>
      </c>
      <c r="C14" s="484"/>
      <c r="D14" s="484">
        <f>'SEAP template'!E25</f>
        <v>3926.3857349999998</v>
      </c>
      <c r="E14" s="484"/>
      <c r="F14" s="484"/>
      <c r="G14" s="484"/>
      <c r="H14" s="484"/>
      <c r="I14" s="484"/>
      <c r="J14" s="484"/>
      <c r="K14" s="484"/>
      <c r="L14" s="484"/>
      <c r="M14" s="484"/>
      <c r="N14" s="484"/>
      <c r="O14" s="484"/>
      <c r="P14" s="485"/>
      <c r="Q14" s="476">
        <f t="shared" si="0"/>
        <v>5010.148588</v>
      </c>
    </row>
    <row r="15" spans="1:17" s="486" customFormat="1">
      <c r="A15" s="1039" t="s">
        <v>555</v>
      </c>
      <c r="B15" s="987">
        <f ca="1">SUM(B4:B14)</f>
        <v>157080.54456604205</v>
      </c>
      <c r="C15" s="987">
        <f t="shared" ref="C15:Q15" ca="1" si="1">SUM(C4:C14)</f>
        <v>29976.428571428572</v>
      </c>
      <c r="D15" s="987">
        <f t="shared" ca="1" si="1"/>
        <v>288217.57839565491</v>
      </c>
      <c r="E15" s="987">
        <f t="shared" si="1"/>
        <v>11357.608793339421</v>
      </c>
      <c r="F15" s="987">
        <f t="shared" ca="1" si="1"/>
        <v>32083.495391331722</v>
      </c>
      <c r="G15" s="987">
        <f t="shared" si="1"/>
        <v>159455.46956515501</v>
      </c>
      <c r="H15" s="987">
        <f t="shared" si="1"/>
        <v>27014.626335386038</v>
      </c>
      <c r="I15" s="987">
        <f t="shared" si="1"/>
        <v>0</v>
      </c>
      <c r="J15" s="987">
        <f t="shared" si="1"/>
        <v>286.93819122020784</v>
      </c>
      <c r="K15" s="987">
        <f t="shared" si="1"/>
        <v>0</v>
      </c>
      <c r="L15" s="987">
        <f t="shared" ca="1" si="1"/>
        <v>0</v>
      </c>
      <c r="M15" s="987">
        <f t="shared" si="1"/>
        <v>10111.0138929237</v>
      </c>
      <c r="N15" s="987">
        <f t="shared" ca="1" si="1"/>
        <v>46588.603614808249</v>
      </c>
      <c r="O15" s="987">
        <f t="shared" si="1"/>
        <v>465.87333333333333</v>
      </c>
      <c r="P15" s="987">
        <f t="shared" si="1"/>
        <v>1067.7333333333333</v>
      </c>
      <c r="Q15" s="987">
        <f t="shared" ca="1" si="1"/>
        <v>763705.91398395645</v>
      </c>
    </row>
    <row r="17" spans="1:17">
      <c r="A17" s="487" t="s">
        <v>556</v>
      </c>
      <c r="B17" s="786">
        <f ca="1">huishoudens!B10</f>
        <v>0.1786722534268195</v>
      </c>
      <c r="C17" s="786">
        <f ca="1">huishoudens!C10</f>
        <v>0.21027916892684595</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7511.1380015111226</v>
      </c>
      <c r="C22" s="477">
        <f t="shared" ref="C22:C32" ca="1" si="3">C4*$C$17</f>
        <v>0</v>
      </c>
      <c r="D22" s="477">
        <f t="shared" ref="D22:D32" si="4">D4*$D$17</f>
        <v>22234.633981342169</v>
      </c>
      <c r="E22" s="477">
        <f t="shared" ref="E22:E32" si="5">E4*$E$17</f>
        <v>1466.6937252685482</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31212.465708121843</v>
      </c>
    </row>
    <row r="23" spans="1:17">
      <c r="A23" s="476" t="s">
        <v>156</v>
      </c>
      <c r="B23" s="477">
        <f t="shared" ca="1" si="2"/>
        <v>11234.051308580165</v>
      </c>
      <c r="C23" s="477">
        <f t="shared" ca="1" si="3"/>
        <v>0</v>
      </c>
      <c r="D23" s="477">
        <f t="shared" ca="1" si="4"/>
        <v>19650.606321944313</v>
      </c>
      <c r="E23" s="477">
        <f t="shared" si="5"/>
        <v>327.6115825033603</v>
      </c>
      <c r="F23" s="477">
        <f t="shared" ca="1" si="6"/>
        <v>3263.7308567426735</v>
      </c>
      <c r="G23" s="477">
        <f t="shared" si="7"/>
        <v>0</v>
      </c>
      <c r="H23" s="477">
        <f t="shared" si="8"/>
        <v>0</v>
      </c>
      <c r="I23" s="477">
        <f t="shared" si="9"/>
        <v>0</v>
      </c>
      <c r="J23" s="477">
        <f t="shared" si="10"/>
        <v>9.6632237697876378E-2</v>
      </c>
      <c r="K23" s="477">
        <f t="shared" si="11"/>
        <v>0</v>
      </c>
      <c r="L23" s="477">
        <f t="shared" ca="1" si="12"/>
        <v>0</v>
      </c>
      <c r="M23" s="477">
        <f t="shared" si="13"/>
        <v>0</v>
      </c>
      <c r="N23" s="477">
        <f t="shared" ca="1" si="14"/>
        <v>0</v>
      </c>
      <c r="O23" s="477">
        <f t="shared" si="15"/>
        <v>0</v>
      </c>
      <c r="P23" s="478">
        <f t="shared" si="16"/>
        <v>0</v>
      </c>
      <c r="Q23" s="476">
        <f t="shared" ref="Q23:Q32" ca="1" si="17">SUM(B23:P23)</f>
        <v>34476.09670200821</v>
      </c>
    </row>
    <row r="24" spans="1:17">
      <c r="A24" s="476" t="s">
        <v>194</v>
      </c>
      <c r="B24" s="477">
        <f t="shared" ca="1" si="2"/>
        <v>407.49226955069099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407.49226955069099</v>
      </c>
    </row>
    <row r="25" spans="1:17">
      <c r="A25" s="476" t="s">
        <v>112</v>
      </c>
      <c r="B25" s="477">
        <f t="shared" ca="1" si="2"/>
        <v>346.24586584842092</v>
      </c>
      <c r="C25" s="477">
        <f t="shared" ca="1" si="3"/>
        <v>6303.4184873949598</v>
      </c>
      <c r="D25" s="477">
        <f t="shared" si="4"/>
        <v>0</v>
      </c>
      <c r="E25" s="477">
        <f t="shared" si="5"/>
        <v>12.929986063869265</v>
      </c>
      <c r="F25" s="477">
        <f t="shared" si="6"/>
        <v>2155.5215820983512</v>
      </c>
      <c r="G25" s="477">
        <f t="shared" si="7"/>
        <v>0</v>
      </c>
      <c r="H25" s="477">
        <f t="shared" si="8"/>
        <v>0</v>
      </c>
      <c r="I25" s="477">
        <f t="shared" si="9"/>
        <v>0</v>
      </c>
      <c r="J25" s="477">
        <f t="shared" si="10"/>
        <v>99.388184827934907</v>
      </c>
      <c r="K25" s="477">
        <f t="shared" si="11"/>
        <v>0</v>
      </c>
      <c r="L25" s="477">
        <f t="shared" si="12"/>
        <v>0</v>
      </c>
      <c r="M25" s="477">
        <f t="shared" si="13"/>
        <v>0</v>
      </c>
      <c r="N25" s="477">
        <f t="shared" si="14"/>
        <v>0</v>
      </c>
      <c r="O25" s="477">
        <f t="shared" si="15"/>
        <v>0</v>
      </c>
      <c r="P25" s="478">
        <f t="shared" si="16"/>
        <v>0</v>
      </c>
      <c r="Q25" s="476">
        <f t="shared" ca="1" si="17"/>
        <v>8917.5041062335367</v>
      </c>
    </row>
    <row r="26" spans="1:17">
      <c r="A26" s="476" t="s">
        <v>635</v>
      </c>
      <c r="B26" s="477">
        <f t="shared" ca="1" si="2"/>
        <v>8361.5224178032331</v>
      </c>
      <c r="C26" s="477">
        <f t="shared" ca="1" si="3"/>
        <v>0</v>
      </c>
      <c r="D26" s="477">
        <f t="shared" si="4"/>
        <v>15494.018638424919</v>
      </c>
      <c r="E26" s="477">
        <f t="shared" si="5"/>
        <v>692.42691918718037</v>
      </c>
      <c r="F26" s="477">
        <f t="shared" si="6"/>
        <v>3147.0408306445447</v>
      </c>
      <c r="G26" s="477">
        <f t="shared" si="7"/>
        <v>0</v>
      </c>
      <c r="H26" s="477">
        <f t="shared" si="8"/>
        <v>0</v>
      </c>
      <c r="I26" s="477">
        <f t="shared" si="9"/>
        <v>0</v>
      </c>
      <c r="J26" s="477">
        <f t="shared" si="10"/>
        <v>2.0913026263207923</v>
      </c>
      <c r="K26" s="477">
        <f t="shared" si="11"/>
        <v>0</v>
      </c>
      <c r="L26" s="477">
        <f t="shared" si="12"/>
        <v>0</v>
      </c>
      <c r="M26" s="477">
        <f t="shared" si="13"/>
        <v>0</v>
      </c>
      <c r="N26" s="477">
        <f t="shared" si="14"/>
        <v>0</v>
      </c>
      <c r="O26" s="477">
        <f t="shared" si="15"/>
        <v>0</v>
      </c>
      <c r="P26" s="478">
        <f t="shared" si="16"/>
        <v>0</v>
      </c>
      <c r="Q26" s="476">
        <f t="shared" ca="1" si="17"/>
        <v>27697.100108686202</v>
      </c>
    </row>
    <row r="27" spans="1:17" s="482" customFormat="1">
      <c r="A27" s="480" t="s">
        <v>561</v>
      </c>
      <c r="B27" s="780">
        <f t="shared" ca="1" si="2"/>
        <v>11.846652707257521</v>
      </c>
      <c r="C27" s="481">
        <f t="shared" ca="1" si="3"/>
        <v>0</v>
      </c>
      <c r="D27" s="481">
        <f t="shared" si="4"/>
        <v>47.561975740886417</v>
      </c>
      <c r="E27" s="481">
        <f t="shared" si="5"/>
        <v>78.514983065090831</v>
      </c>
      <c r="F27" s="481">
        <f t="shared" si="6"/>
        <v>0</v>
      </c>
      <c r="G27" s="481">
        <f t="shared" si="7"/>
        <v>42205.436309404467</v>
      </c>
      <c r="H27" s="481">
        <f t="shared" si="8"/>
        <v>6726.6419575111231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49070.001878428826</v>
      </c>
    </row>
    <row r="28" spans="1:17">
      <c r="A28" s="476" t="s">
        <v>551</v>
      </c>
      <c r="B28" s="477">
        <f t="shared" ca="1" si="2"/>
        <v>0</v>
      </c>
      <c r="C28" s="477">
        <f t="shared" ca="1" si="3"/>
        <v>0</v>
      </c>
      <c r="D28" s="477">
        <f t="shared" si="4"/>
        <v>0</v>
      </c>
      <c r="E28" s="477">
        <f t="shared" si="5"/>
        <v>0</v>
      </c>
      <c r="F28" s="477">
        <f t="shared" si="6"/>
        <v>0</v>
      </c>
      <c r="G28" s="477">
        <f t="shared" si="7"/>
        <v>369.17406449192418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369.17406449192418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193.63835112578892</v>
      </c>
      <c r="C32" s="477">
        <f t="shared" ca="1" si="3"/>
        <v>0</v>
      </c>
      <c r="D32" s="477">
        <f t="shared" si="4"/>
        <v>793.12991847000001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986.76826959578898</v>
      </c>
    </row>
    <row r="33" spans="1:17" s="486" customFormat="1">
      <c r="A33" s="1039" t="s">
        <v>555</v>
      </c>
      <c r="B33" s="987">
        <f ca="1">SUM(B22:B32)</f>
        <v>28065.934867126674</v>
      </c>
      <c r="C33" s="987">
        <f t="shared" ref="C33:Q33" ca="1" si="18">SUM(C22:C32)</f>
        <v>6303.4184873949598</v>
      </c>
      <c r="D33" s="987">
        <f t="shared" ca="1" si="18"/>
        <v>58219.950835922282</v>
      </c>
      <c r="E33" s="987">
        <f t="shared" si="18"/>
        <v>2578.1771960880487</v>
      </c>
      <c r="F33" s="987">
        <f t="shared" ca="1" si="18"/>
        <v>8566.2932694855699</v>
      </c>
      <c r="G33" s="987">
        <f t="shared" si="18"/>
        <v>42574.610373896394</v>
      </c>
      <c r="H33" s="987">
        <f t="shared" si="18"/>
        <v>6726.6419575111231</v>
      </c>
      <c r="I33" s="987">
        <f t="shared" si="18"/>
        <v>0</v>
      </c>
      <c r="J33" s="987">
        <f t="shared" si="18"/>
        <v>101.57611969195358</v>
      </c>
      <c r="K33" s="987">
        <f t="shared" si="18"/>
        <v>0</v>
      </c>
      <c r="L33" s="987">
        <f t="shared" ca="1" si="18"/>
        <v>0</v>
      </c>
      <c r="M33" s="987">
        <f t="shared" si="18"/>
        <v>0</v>
      </c>
      <c r="N33" s="987">
        <f t="shared" ca="1" si="18"/>
        <v>0</v>
      </c>
      <c r="O33" s="987">
        <f t="shared" si="18"/>
        <v>0</v>
      </c>
      <c r="P33" s="987">
        <f t="shared" si="18"/>
        <v>0</v>
      </c>
      <c r="Q33" s="987">
        <f t="shared" ca="1" si="18"/>
        <v>153136.60310711703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10506.933564053257</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17219.509527100974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2416.5000000000005</v>
      </c>
      <c r="C8" s="1056">
        <f>'SEAP template'!C76</f>
        <v>18567</v>
      </c>
      <c r="D8" s="1056">
        <f>'SEAP template'!D76</f>
        <v>21843.529411764706</v>
      </c>
      <c r="E8" s="1056">
        <f>'SEAP template'!E76</f>
        <v>0</v>
      </c>
      <c r="F8" s="1056">
        <f>'SEAP template'!F76</f>
        <v>0</v>
      </c>
      <c r="G8" s="1056">
        <f>'SEAP template'!G76</f>
        <v>0</v>
      </c>
      <c r="H8" s="1056">
        <f>'SEAP template'!H76</f>
        <v>0</v>
      </c>
      <c r="I8" s="1056">
        <f>'SEAP template'!I76</f>
        <v>0</v>
      </c>
      <c r="J8" s="1056">
        <f>'SEAP template'!J76</f>
        <v>2842.9411764705883</v>
      </c>
      <c r="K8" s="1056">
        <f>'SEAP template'!K76</f>
        <v>0</v>
      </c>
      <c r="L8" s="1056">
        <f>'SEAP template'!L76</f>
        <v>0</v>
      </c>
      <c r="M8" s="1056">
        <f>'SEAP template'!M76</f>
        <v>0</v>
      </c>
      <c r="N8" s="1056">
        <f>'SEAP template'!N76</f>
        <v>0</v>
      </c>
      <c r="O8" s="1056">
        <f>'SEAP template'!O76</f>
        <v>0</v>
      </c>
      <c r="P8" s="1057">
        <f>'SEAP template'!Q76</f>
        <v>4412.3929411764711</v>
      </c>
    </row>
    <row r="9" spans="1:16">
      <c r="A9" s="1059" t="s">
        <v>854</v>
      </c>
      <c r="B9" s="1056">
        <f>'SEAP template'!B77</f>
        <v>1341</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3831.4285714285716</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31483.943091154229</v>
      </c>
      <c r="C10" s="1060">
        <f>SUM(C4:C9)</f>
        <v>18567</v>
      </c>
      <c r="D10" s="1060">
        <f t="shared" ref="D10:H10" si="0">SUM(D8:D9)</f>
        <v>21843.529411764706</v>
      </c>
      <c r="E10" s="1060">
        <f t="shared" si="0"/>
        <v>0</v>
      </c>
      <c r="F10" s="1060">
        <f t="shared" si="0"/>
        <v>0</v>
      </c>
      <c r="G10" s="1060">
        <f t="shared" si="0"/>
        <v>0</v>
      </c>
      <c r="H10" s="1060">
        <f t="shared" si="0"/>
        <v>0</v>
      </c>
      <c r="I10" s="1060">
        <f>SUM(I8:I9)</f>
        <v>0</v>
      </c>
      <c r="J10" s="1060">
        <f>SUM(J8:J9)</f>
        <v>6674.3697478991598</v>
      </c>
      <c r="K10" s="1060">
        <f t="shared" ref="K10:L10" si="1">SUM(K8:K9)</f>
        <v>0</v>
      </c>
      <c r="L10" s="1060">
        <f t="shared" si="1"/>
        <v>0</v>
      </c>
      <c r="M10" s="1060">
        <f>SUM(M8:M9)</f>
        <v>0</v>
      </c>
      <c r="N10" s="1060">
        <f>SUM(N8:N9)</f>
        <v>0</v>
      </c>
      <c r="O10" s="1060">
        <f>SUM(O8:O9)</f>
        <v>0</v>
      </c>
      <c r="P10" s="1060">
        <f>SUM(P8:P9)</f>
        <v>4412.3929411764711</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0.1786722534268195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3452.1428571428569</v>
      </c>
      <c r="C17" s="1062">
        <f>'SEAP template'!C87</f>
        <v>26524.285714285714</v>
      </c>
      <c r="D17" s="1057">
        <f>'SEAP template'!D87</f>
        <v>31205.042016806728</v>
      </c>
      <c r="E17" s="1057">
        <f>'SEAP template'!E87</f>
        <v>0</v>
      </c>
      <c r="F17" s="1057">
        <f>'SEAP template'!F87</f>
        <v>0</v>
      </c>
      <c r="G17" s="1057">
        <f>'SEAP template'!G87</f>
        <v>0</v>
      </c>
      <c r="H17" s="1057">
        <f>'SEAP template'!H87</f>
        <v>0</v>
      </c>
      <c r="I17" s="1057">
        <f>'SEAP template'!I87</f>
        <v>0</v>
      </c>
      <c r="J17" s="1057">
        <f>'SEAP template'!J87</f>
        <v>4061.3445378151264</v>
      </c>
      <c r="K17" s="1057">
        <f>'SEAP template'!K87</f>
        <v>0</v>
      </c>
      <c r="L17" s="1057">
        <f>'SEAP template'!L87</f>
        <v>0</v>
      </c>
      <c r="M17" s="1057">
        <f>'SEAP template'!M87</f>
        <v>0</v>
      </c>
      <c r="N17" s="1057">
        <f>'SEAP template'!N87</f>
        <v>0</v>
      </c>
      <c r="O17" s="1057">
        <f>'SEAP template'!O87</f>
        <v>0</v>
      </c>
      <c r="P17" s="1057">
        <f>'SEAP template'!Q87</f>
        <v>6303.4184873949598</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3452.1428571428569</v>
      </c>
      <c r="C20" s="1060">
        <f>SUM(C17:C19)</f>
        <v>26524.285714285714</v>
      </c>
      <c r="D20" s="1060">
        <f t="shared" ref="D20:H20" si="2">SUM(D17:D19)</f>
        <v>31205.042016806728</v>
      </c>
      <c r="E20" s="1060">
        <f t="shared" si="2"/>
        <v>0</v>
      </c>
      <c r="F20" s="1060">
        <f t="shared" si="2"/>
        <v>0</v>
      </c>
      <c r="G20" s="1060">
        <f t="shared" si="2"/>
        <v>0</v>
      </c>
      <c r="H20" s="1060">
        <f t="shared" si="2"/>
        <v>0</v>
      </c>
      <c r="I20" s="1060">
        <f>SUM(I17:I19)</f>
        <v>0</v>
      </c>
      <c r="J20" s="1060">
        <f>SUM(J17:J19)</f>
        <v>4061.3445378151264</v>
      </c>
      <c r="K20" s="1060">
        <f t="shared" ref="K20:L20" si="3">SUM(K17:K19)</f>
        <v>0</v>
      </c>
      <c r="L20" s="1060">
        <f t="shared" si="3"/>
        <v>0</v>
      </c>
      <c r="M20" s="1060">
        <f>SUM(M17:M19)</f>
        <v>0</v>
      </c>
      <c r="N20" s="1060">
        <f>SUM(N17:N19)</f>
        <v>0</v>
      </c>
      <c r="O20" s="1060">
        <f>SUM(O17:O19)</f>
        <v>0</v>
      </c>
      <c r="P20" s="1060">
        <f>SUM(P17:P19)</f>
        <v>6303.4184873949598</v>
      </c>
    </row>
    <row r="22" spans="1:16">
      <c r="A22" s="487" t="s">
        <v>862</v>
      </c>
      <c r="B22" s="786" t="s">
        <v>856</v>
      </c>
      <c r="C22" s="786">
        <f ca="1">'EF ele_warmte'!B22</f>
        <v>0.21027916892684595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0.1786722534268195</v>
      </c>
      <c r="C17" s="524">
        <f ca="1">'EF ele_warmte'!B22</f>
        <v>0.21027916892684595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3</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4.6900000000000004</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2019-08-12T08:33:30Z</dcterms:modified>
</cp:coreProperties>
</file>