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N10" s="1"/>
  <c r="L78" i="14"/>
  <c r="L8" i="61"/>
  <c r="L10" s="1"/>
  <c r="K78" i="14"/>
  <c r="K8" i="61"/>
  <c r="K10" s="1"/>
  <c r="L90" i="14"/>
  <c r="L18" i="61"/>
  <c r="L20" s="1"/>
  <c r="G77" i="14"/>
  <c r="G9" i="61" s="1"/>
  <c r="G10" s="1"/>
  <c r="H20"/>
  <c r="O10"/>
  <c r="G20"/>
  <c r="K20"/>
  <c r="Q11" i="48"/>
  <c r="O25"/>
  <c r="O32"/>
  <c r="C98" i="18"/>
  <c r="G101" s="1"/>
  <c r="I8" s="1"/>
  <c r="D13" i="15"/>
  <c r="O77" i="14"/>
  <c r="O9" i="61" s="1"/>
  <c r="E88" i="14"/>
  <c r="O30" i="48"/>
  <c r="C13" i="15"/>
  <c r="K90" i="14"/>
  <c r="K22"/>
  <c r="Q52"/>
  <c r="F6" i="17"/>
  <c r="I9" i="18"/>
  <c r="O9" s="1"/>
  <c r="P27" i="48"/>
  <c r="B10" i="18"/>
  <c r="M77" i="14"/>
  <c r="M9" i="61" s="1"/>
  <c r="H9" i="18"/>
  <c r="L13" i="15"/>
  <c r="B13"/>
  <c r="H90" i="14"/>
  <c r="N13" i="15"/>
  <c r="F77" i="14"/>
  <c r="F9" i="61" s="1"/>
  <c r="F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E90" i="14"/>
  <c r="E18" i="61"/>
  <c r="E20" s="1"/>
  <c r="I77" i="14"/>
  <c r="I9" i="61" s="1"/>
  <c r="H101" i="18"/>
  <c r="J8" s="1"/>
  <c r="D101"/>
  <c r="C101"/>
  <c r="B101"/>
  <c r="C8" s="1"/>
  <c r="C10" s="1"/>
  <c r="I101"/>
  <c r="H8" s="1"/>
  <c r="H10" s="1"/>
  <c r="E101"/>
  <c r="E8" s="1"/>
  <c r="B88" i="14"/>
  <c r="B18" i="61" s="1"/>
  <c r="B77" i="14"/>
  <c r="B9" i="61" s="1"/>
  <c r="Q77" i="14"/>
  <c r="P9" i="61" s="1"/>
  <c r="J17" i="18"/>
  <c r="H20"/>
  <c r="M87" i="14"/>
  <c r="E20" i="18"/>
  <c r="F87" i="14"/>
  <c r="C77"/>
  <c r="C9" i="61" s="1"/>
  <c r="C20" i="18"/>
  <c r="D87" i="14"/>
  <c r="D17" i="61" s="1"/>
  <c r="D20" s="1"/>
  <c r="C88" i="14"/>
  <c r="C18" i="61" s="1"/>
  <c r="F76" i="14"/>
  <c r="E10" i="18"/>
  <c r="I17"/>
  <c r="I10"/>
  <c r="I76" i="14"/>
  <c r="I8" i="61" s="1"/>
  <c r="I10" s="1"/>
  <c r="Q88" i="14"/>
  <c r="P18" i="61" s="1"/>
  <c r="AC15" i="5"/>
  <c r="F78" i="14" l="1"/>
  <c r="F8" i="61"/>
  <c r="F10" s="1"/>
  <c r="F90" i="14"/>
  <c r="F17" i="61"/>
  <c r="F20" s="1"/>
  <c r="M90" i="14"/>
  <c r="M17" i="61"/>
  <c r="M20" s="1"/>
  <c r="D76" i="14"/>
  <c r="D8" i="61" s="1"/>
  <c r="D10" s="1"/>
  <c r="O8" i="18"/>
  <c r="O10" s="1"/>
  <c r="M76" i="14"/>
  <c r="I78"/>
  <c r="D78"/>
  <c r="J87"/>
  <c r="J20" i="18"/>
  <c r="I87" i="14"/>
  <c r="I17" i="61" s="1"/>
  <c r="I20" s="1"/>
  <c r="I20" i="18"/>
  <c r="O17"/>
  <c r="O20" s="1"/>
  <c r="Q87" i="14"/>
  <c r="D90"/>
  <c r="J10" i="18"/>
  <c r="J76" i="14"/>
  <c r="D5" i="13"/>
  <c r="M78" i="14" l="1"/>
  <c r="M8" i="61"/>
  <c r="M10" s="1"/>
  <c r="Q90" i="14"/>
  <c r="B17" i="6" s="1"/>
  <c r="P17" i="61"/>
  <c r="P20" s="1"/>
  <c r="J78" i="14"/>
  <c r="J8" i="61"/>
  <c r="J10" s="1"/>
  <c r="J90" i="14"/>
  <c r="J17" i="61"/>
  <c r="J20" s="1"/>
  <c r="Q76" i="14"/>
  <c r="I90"/>
  <c r="B87"/>
  <c r="C87"/>
  <c r="C76"/>
  <c r="B76"/>
  <c r="B26" i="17"/>
  <c r="B90" i="14" l="1"/>
  <c r="B17" i="61"/>
  <c r="B20" s="1"/>
  <c r="C90" i="14"/>
  <c r="C17" i="61"/>
  <c r="C20" s="1"/>
  <c r="C78" i="14"/>
  <c r="C8" i="61"/>
  <c r="C10" s="1"/>
  <c r="B78" i="14"/>
  <c r="B8" i="61"/>
  <c r="B10" s="1"/>
  <c r="Q78" i="14"/>
  <c r="B9" i="6" s="1"/>
  <c r="P8" i="61"/>
  <c r="P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6"/>
  <c r="H22"/>
  <c r="H30"/>
  <c r="H28"/>
  <c r="H25"/>
  <c r="H24"/>
  <c r="H23"/>
  <c r="D11" i="14"/>
  <c r="C4" i="48"/>
  <c r="G23"/>
  <c r="G32"/>
  <c r="G22"/>
  <c r="G30"/>
  <c r="G26"/>
  <c r="G24"/>
  <c r="G25"/>
  <c r="G29"/>
  <c r="C11" i="14"/>
  <c r="B4" i="48"/>
  <c r="F24"/>
  <c r="F29"/>
  <c r="F30"/>
  <c r="F32"/>
  <c r="F28"/>
  <c r="F31"/>
  <c r="F27"/>
  <c r="N30"/>
  <c r="N32"/>
  <c r="N24"/>
  <c r="N27"/>
  <c r="N31"/>
  <c r="N28"/>
  <c r="N29"/>
  <c r="C19" i="14"/>
  <c r="B10" i="48"/>
  <c r="E32"/>
  <c r="E31"/>
  <c r="E29"/>
  <c r="E24"/>
  <c r="E30"/>
  <c r="E28"/>
  <c r="M25"/>
  <c r="M29"/>
  <c r="M22"/>
  <c r="M26"/>
  <c r="M24"/>
  <c r="M30"/>
  <c r="M32"/>
  <c r="M23"/>
  <c r="K5"/>
  <c r="L10" i="14"/>
  <c r="L16" s="1"/>
  <c r="L27" s="1"/>
  <c r="D30" i="48"/>
  <c r="D28"/>
  <c r="D24"/>
  <c r="D29"/>
  <c r="D31"/>
  <c r="D32"/>
  <c r="L29"/>
  <c r="L32"/>
  <c r="L27"/>
  <c r="L22"/>
  <c r="L30"/>
  <c r="L28"/>
  <c r="L24"/>
  <c r="L31"/>
  <c r="P5"/>
  <c r="P23" s="1"/>
  <c r="Q10" i="14"/>
  <c r="K32" i="48"/>
  <c r="K24"/>
  <c r="K27"/>
  <c r="K31"/>
  <c r="K22"/>
  <c r="K25"/>
  <c r="K30"/>
  <c r="K26"/>
  <c r="K28"/>
  <c r="K29"/>
  <c r="B7"/>
  <c r="C24" i="14"/>
  <c r="C26" s="1"/>
  <c r="J30" i="48"/>
  <c r="J32"/>
  <c r="J24"/>
  <c r="J31"/>
  <c r="J29"/>
  <c r="J28"/>
  <c r="J27"/>
  <c r="P4"/>
  <c r="Q11" i="14"/>
  <c r="O4" i="48"/>
  <c r="P11" i="14"/>
  <c r="I29" i="48"/>
  <c r="I25"/>
  <c r="I27"/>
  <c r="I31"/>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15"/>
  <c r="E9"/>
  <c r="E27" s="1"/>
  <c r="F20" i="14"/>
  <c r="F22" s="1"/>
  <c r="P8" i="48"/>
  <c r="P26" s="1"/>
  <c r="Q13" i="14"/>
  <c r="O22" i="48"/>
  <c r="D9"/>
  <c r="D27" s="1"/>
  <c r="E20" i="14"/>
  <c r="E22" s="1"/>
  <c r="O5" i="48"/>
  <c r="O23" s="1"/>
  <c r="P10" i="14"/>
  <c r="K23" i="48"/>
  <c r="K33" s="1"/>
  <c r="K15"/>
  <c r="B9"/>
  <c r="C20" i="14"/>
  <c r="C22" s="1"/>
  <c r="J7" i="48"/>
  <c r="J25" s="1"/>
  <c r="K24" i="14"/>
  <c r="K26" s="1"/>
  <c r="F4" i="48"/>
  <c r="F22" s="1"/>
  <c r="G11" i="14"/>
  <c r="J10"/>
  <c r="J16" s="1"/>
  <c r="J27" s="1"/>
  <c r="J63" s="1"/>
  <c r="I5" i="48"/>
  <c r="G13"/>
  <c r="G31" s="1"/>
  <c r="H18" i="14"/>
  <c r="L46"/>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K11"/>
  <c r="J4" i="48"/>
  <c r="N4"/>
  <c r="N22" s="1"/>
  <c r="O11" i="14"/>
  <c r="M10" i="48"/>
  <c r="M28" s="1"/>
  <c r="N19" i="14"/>
  <c r="G10" i="48"/>
  <c r="H19" i="14"/>
  <c r="E7" i="48"/>
  <c r="E25" s="1"/>
  <c r="F24" i="14"/>
  <c r="F26" s="1"/>
  <c r="I23" i="48"/>
  <c r="I33" s="1"/>
  <c r="I15"/>
  <c r="O8"/>
  <c r="O26" s="1"/>
  <c r="P13" i="14"/>
  <c r="M14" i="22"/>
  <c r="P16" i="14"/>
  <c r="P27" s="1"/>
  <c r="H14" i="22"/>
  <c r="O15" i="48"/>
  <c r="P46" i="14"/>
  <c r="P61" s="1"/>
  <c r="O33" i="48"/>
  <c r="Q63" i="14"/>
  <c r="P33" i="48"/>
  <c r="I20" i="14"/>
  <c r="I22" s="1"/>
  <c r="I27" s="1"/>
  <c r="H9" i="48"/>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R19" l="1"/>
  <c r="R22" s="1"/>
  <c r="G9" i="48"/>
  <c r="H20" i="14"/>
  <c r="H22" s="1"/>
  <c r="H27" s="1"/>
  <c r="K10"/>
  <c r="J5" i="48"/>
  <c r="J23" s="1"/>
  <c r="J22"/>
  <c r="E5"/>
  <c r="E23" s="1"/>
  <c r="F10" i="14"/>
  <c r="G28" i="48"/>
  <c r="Q10"/>
  <c r="E22"/>
  <c r="Q4"/>
  <c r="P63" i="14"/>
  <c r="Q7" i="48"/>
  <c r="M15"/>
  <c r="M27"/>
  <c r="M33" s="1"/>
  <c r="H15"/>
  <c r="H27"/>
  <c r="H33" s="1"/>
  <c r="N63" i="14"/>
  <c r="R20"/>
  <c r="R24"/>
  <c r="R26" s="1"/>
  <c r="N18" i="16"/>
  <c r="E20" i="15"/>
  <c r="F40" i="14" s="1"/>
  <c r="F18" i="16"/>
  <c r="J18"/>
  <c r="E18"/>
  <c r="G18" i="22"/>
  <c r="H50" i="14" s="1"/>
  <c r="H52" s="1"/>
  <c r="H61" s="1"/>
  <c r="H18" i="22"/>
  <c r="I50" i="14" s="1"/>
  <c r="I52" s="1"/>
  <c r="I61" s="1"/>
  <c r="I63" s="1"/>
  <c r="G27" i="48" l="1"/>
  <c r="G33" s="1"/>
  <c r="G15"/>
  <c r="K13" i="14"/>
  <c r="K16" s="1"/>
  <c r="K27" s="1"/>
  <c r="K63" s="1"/>
  <c r="J8" i="48"/>
  <c r="J26" s="1"/>
  <c r="E8"/>
  <c r="F13" i="14"/>
  <c r="F16" s="1"/>
  <c r="F27" s="1"/>
  <c r="Q9" i="48"/>
  <c r="J33"/>
  <c r="H63" i="14"/>
  <c r="N8" i="48"/>
  <c r="N26" s="1"/>
  <c r="O13" i="14"/>
  <c r="F8" i="48"/>
  <c r="G13" i="14"/>
  <c r="R13" s="1"/>
  <c r="E22" i="16"/>
  <c r="F43" i="14" s="1"/>
  <c r="F46" s="1"/>
  <c r="F61" s="1"/>
  <c r="F22" i="16"/>
  <c r="G43" i="14" s="1"/>
  <c r="N22" i="16"/>
  <c r="O43" i="14" s="1"/>
  <c r="J22" i="16"/>
  <c r="K43" i="14" s="1"/>
  <c r="K46" s="1"/>
  <c r="K61" s="1"/>
  <c r="F63" l="1"/>
  <c r="E26" i="48"/>
  <c r="E33" s="1"/>
  <c r="E15"/>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<sst xmlns="http://schemas.openxmlformats.org/spreadsheetml/2006/main" count="2383" uniqueCount="881">
  <si>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</si>
  <si>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</si>
  <si>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</si>
  <si>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</si>
  <si>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</si>
  <si>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</si>
  <si>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</si>
  <si>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</si>
  <si>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</si>
  <si>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</si>
  <si>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</si>
  <si>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</si>
  <si>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</si>
  <si>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</si>
  <si>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</si>
  <si>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</si>
  <si>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</si>
  <si>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</si>
  <si>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</si>
  <si>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</si>
  <si>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</si>
  <si>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</si>
  <si>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</si>
  <si>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</si>
  <si>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</si>
  <si>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</si>
  <si>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</si>
  <si>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</si>
  <si>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</si>
  <si>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</si>
  <si>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</si>
  <si>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</si>
  <si>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</si>
  <si>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</si>
  <si>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</si>
  <si>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</si>
  <si>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</si>
  <si>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</si>
  <si>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</si>
  <si>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</si>
  <si>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</si>
  <si>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</si>
  <si>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</si>
  <si>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</si>
  <si>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</si>
  <si>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</si>
  <si>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</si>
  <si>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</si>
  <si>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</si>
  <si>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</si>
  <si>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</si>
  <si>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</si>
  <si>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</si>
  <si>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</si>
  <si>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</si>
  <si>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</si>
  <si>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</si>
  <si>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</si>
  <si>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</si>
  <si>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</si>
  <si>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</si>
  <si>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</si>
  <si>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</si>
  <si>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</si>
  <si>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</si>
  <si>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</si>
  <si>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</si>
  <si>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</si>
  <si>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</si>
  <si>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</si>
  <si>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</si>
  <si>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</si>
  <si>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</si>
  <si>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</si>
  <si>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</si>
  <si>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</si>
  <si>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</si>
  <si>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</si>
  <si>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</si>
  <si>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</si>
  <si>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</si>
  <si>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</si>
  <si>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</si>
  <si>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</si>
  <si>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</si>
  <si>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</si>
  <si>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</si>
  <si>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</si>
  <si>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</si>
  <si>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</si>
  <si>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</si>
  <si>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</si>
  <si>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</si>
  <si>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</si>
  <si>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</si>
  <si>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</si>
  <si>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</si>
  <si>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</si>
  <si>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</si>
  <si>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</si>
  <si>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</si>
  <si>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</si>
  <si>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</si>
  <si>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</si>
  <si>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</si>
  <si>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</si>
  <si>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</si>
  <si>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</si>
  <si>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</si>
  <si>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</si>
  <si>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</si>
  <si>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</si>
  <si>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</si>
  <si>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</si>
  <si>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</si>
  <si>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</si>
  <si>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</si>
  <si>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</si>
  <si>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</si>
  <si>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</si>
  <si>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</si>
  <si>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</si>
  <si>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</si>
  <si>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</si>
  <si>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</si>
  <si>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</si>
  <si>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</si>
  <si>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</si>
  <si>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</si>
  <si>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</si>
  <si>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</si>
  <si>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</si>
  <si>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</si>
  <si>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</si>
  <si>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</si>
  <si>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</si>
  <si>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</si>
  <si>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</si>
  <si>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</si>
  <si>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</si>
  <si>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</si>
  <si>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</si>
  <si>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</si>
  <si>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</si>
  <si>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</si>
  <si>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</si>
  <si>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</si>
  <si>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</si>
  <si>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</si>
  <si>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</si>
  <si>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</si>
  <si>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</si>
  <si>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</si>
  <si>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</si>
  <si>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</si>
  <si>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</si>
  <si>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</si>
  <si>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</si>
  <si>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</si>
  <si>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</si>
  <si>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</si>
  <si>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</si>
  <si>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</si>
  <si>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</si>
  <si>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</si>
  <si>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</si>
  <si>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</si>
  <si>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</si>
  <si>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</si>
  <si>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</si>
  <si>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</si>
  <si>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</si>
  <si>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</si>
  <si>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</si>
  <si>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</si>
  <si>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</si>
  <si>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</si>
  <si>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</si>
  <si>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</si>
  <si>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</si>
  <si>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</si>
  <si>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</si>
  <si>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</si>
  <si>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</si>
  <si>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</si>
  <si>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</si>
  <si>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</si>
  <si>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</si>
  <si>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</si>
  <si>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</si>
  <si>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</si>
  <si>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</si>
  <si>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</si>
  <si>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</si>
  <si>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</si>
  <si>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</si>
  <si>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</si>
  <si>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</si>
  <si>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</si>
  <si>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</si>
  <si>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</si>
  <si>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</si>
  <si>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</si>
  <si>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</si>
  <si>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</si>
  <si>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</si>
  <si>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</si>
  <si>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</si>
  <si>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</si>
  <si>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</si>
  <si>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</si>
  <si>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</si>
  <si>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</si>
  <si>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</si>
  <si>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</si>
  <si>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</si>
  <si>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</si>
  <si>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</si>
  <si>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</si>
  <si>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</si>
  <si>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</si>
  <si>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</si>
  <si>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</si>
  <si>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</si>
  <si>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</si>
  <si>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</si>
  <si>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</si>
  <si>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</si>
  <si>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</si>
  <si>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</si>
  <si>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</si>
  <si>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</si>
  <si>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</si>
  <si>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</si>
  <si>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</si>
  <si>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</si>
  <si>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</si>
  <si>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</si>
  <si>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</si>
  <si>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</si>
  <si>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</si>
  <si>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</si>
  <si>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</si>
  <si>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</si>
  <si>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</si>
  <si>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</si>
  <si>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</si>
  <si>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</si>
  <si>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</si>
  <si>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</si>
  <si>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</si>
  <si>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</si>
  <si>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</si>
  <si>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</si>
  <si>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</si>
  <si>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</si>
  <si>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</si>
  <si>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</si>
  <si>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</si>
  <si>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</si>
  <si>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</si>
  <si>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</si>
  <si>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</si>
  <si>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</si>
  <si>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</si>
  <si>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</si>
  <si>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</si>
  <si>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</si>
  <si>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</si>
  <si>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</si>
  <si>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</si>
  <si>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</si>
  <si>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</si>
  <si>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</si>
  <si>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</si>
  <si>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</si>
  <si>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</si>
  <si>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</si>
  <si>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</si>
  <si>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</si>
  <si>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</si>
  <si>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</si>
  <si>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</si>
  <si>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</si>
  <si>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</si>
  <si>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</si>
  <si>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</si>
  <si>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</si>
  <si>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</si>
  <si>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</si>
  <si>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</si>
  <si>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</si>
  <si>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</si>
  <si>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</si>
  <si>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</si>
  <si>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</si>
  <si>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</si>
  <si>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</si>
  <si>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</si>
  <si>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</si>
  <si>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</si>
  <si>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</si>
  <si>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</si>
  <si>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</si>
  <si>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</si>
  <si>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</si>
  <si>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</si>
  <si>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</si>
  <si>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</si>
  <si>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</si>
  <si>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</si>
  <si>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</si>
  <si>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</si>
  <si>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</si>
  <si>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</si>
  <si>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</si>
  <si>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</si>
  <si>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</si>
  <si>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</si>
  <si>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</si>
  <si>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</si>
  <si>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</si>
  <si>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</si>
  <si>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</si>
  <si>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</si>
  <si>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</si>
  <si>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</si>
  <si>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</si>
  <si>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</si>
  <si>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</si>
  <si>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</si>
  <si>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</si>
  <si>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</si>
  <si>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</si>
  <si>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</si>
  <si>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</si>
  <si>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</si>
  <si>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</si>
  <si>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</si>
  <si>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</si>
  <si>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</si>
  <si>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</si>
  <si>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</si>
  <si>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</si>
  <si>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</si>
  <si>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</si>
  <si>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</si>
  <si>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</si>
  <si>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</si>
  <si>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</si>
  <si>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</si>
  <si>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</si>
  <si>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</si>
  <si>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</si>
  <si>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</si>
  <si>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</si>
  <si>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</si>
  <si>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</si>
  <si>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</si>
  <si>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</si>
  <si>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</si>
  <si>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</si>
  <si>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</si>
  <si>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</si>
  <si>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</si>
  <si>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</si>
  <si>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</si>
  <si>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</si>
  <si>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</si>
  <si>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</si>
  <si>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</si>
  <si>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</si>
  <si>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</si>
  <si>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</si>
  <si>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</si>
  <si>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</si>
  <si>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</si>
  <si>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</si>
  <si>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</si>
  <si>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</si>
  <si>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</si>
  <si>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</si>
  <si>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</si>
  <si>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</si>
  <si>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</si>
  <si>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</si>
  <si>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</si>
  <si>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</si>
  <si>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</si>
  <si>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</si>
  <si>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</si>
  <si>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</si>
  <si>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</si>
  <si>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</si>
  <si>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</si>
  <si>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</si>
  <si>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</si>
  <si>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</si>
  <si>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</si>
  <si>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</si>
  <si>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</si>
  <si>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</si>
  <si>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</si>
  <si>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</si>
  <si>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</si>
  <si>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</si>
  <si>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</si>
  <si>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</si>
  <si>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</si>
  <si>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</si>
  <si>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</si>
  <si>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</si>
  <si>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</si>
  <si>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</si>
  <si>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</si>
  <si>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</si>
  <si>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</si>
  <si>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</si>
  <si>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</si>
  <si>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</si>
  <si>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</si>
  <si>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</si>
  <si>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</si>
  <si>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</si>
  <si>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</si>
  <si>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</si>
  <si>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</si>
  <si>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</si>
  <si>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</si>
  <si>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</si>
  <si>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</si>
  <si>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</si>
  <si>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</si>
  <si>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</si>
  <si>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</si>
  <si>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</si>
  <si>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</si>
  <si>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</si>
  <si>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</si>
  <si>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</si>
  <si>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</si>
  <si>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</si>
  <si>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</si>
  <si>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</si>
  <si>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</si>
  <si>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</si>
  <si>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</si>
  <si>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</si>
  <si>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</si>
  <si>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</si>
  <si>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</si>
  <si>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</si>
  <si>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</si>
  <si>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</si>
  <si>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</si>
  <si>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</si>
  <si>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</si>
  <si>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</si>
  <si>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</si>
  <si>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</si>
  <si>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</si>
  <si>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</si>
  <si>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</si>
  <si>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</si>
  <si>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</si>
  <si>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</si>
  <si>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</si>
  <si>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</si>
  <si>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</si>
  <si>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</si>
  <si>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</si>
  <si>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</si>
  <si>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</si>
  <si>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</si>
  <si>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</si>
  <si>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</si>
  <si>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</si>
  <si>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</si>
  <si>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</si>
  <si>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</si>
  <si>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</si>
  <si>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</si>
  <si>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</si>
  <si>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</si>
  <si>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</si>
  <si>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</si>
  <si>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</si>
  <si>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</si>
  <si>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</si>
  <si>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</si>
  <si>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</si>
  <si>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</si>
  <si>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</si>
  <si>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</si>
  <si>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</si>
  <si>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</si>
  <si>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</si>
  <si>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</si>
  <si>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</si>
  <si>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</si>
  <si>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</si>
  <si>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</si>
  <si>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</si>
  <si>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</si>
  <si>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</si>
  <si>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</si>
  <si>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</si>
  <si>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</si>
  <si>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</si>
  <si>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</si>
  <si>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</si>
  <si>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</si>
  <si>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</si>
  <si>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</si>
  <si>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</si>
  <si>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</si>
  <si>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</si>
  <si>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</si>
  <si>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</si>
  <si>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</si>
  <si>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</si>
  <si>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</si>
  <si>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</si>
  <si>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</si>
  <si>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</si>
  <si>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</si>
  <si>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</si>
  <si>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</si>
  <si>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</si>
  <si>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</si>
  <si>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</si>
  <si>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</si>
  <si>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</si>
  <si>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</si>
  <si>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</si>
  <si>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</si>
  <si>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</si>
  <si>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</si>
  <si>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</si>
  <si>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</si>
  <si>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</si>
  <si>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</si>
  <si>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</si>
  <si>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</si>
  <si>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</si>
  <si>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</si>
  <si>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</si>
  <si>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</si>
  <si>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</si>
  <si>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</si>
  <si>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</si>
  <si>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</si>
  <si>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</si>
  <si>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</si>
  <si>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</si>
  <si>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</si>
  <si>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</si>
  <si>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</si>
  <si>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</si>
  <si>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</si>
  <si>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</si>
  <si>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</si>
  <si>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</si>
  <si>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</si>
  <si>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</si>
  <si>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</si>
  <si>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</si>
  <si>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</si>
  <si>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</si>
  <si>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</si>
  <si>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</si>
  <si>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</si>
  <si>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</si>
  <si>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</si>
  <si>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</si>
  <si>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</si>
  <si>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</si>
  <si>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</si>
  <si>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</si>
  <si>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</si>
  <si>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</si>
  <si>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</si>
  <si>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</si>
  <si>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</si>
  <si>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</si>
  <si>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</si>
  <si>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</si>
  <si>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</si>
  <si>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</si>
  <si>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</si>
  <si>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</si>
  <si>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</si>
  <si>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</si>
  <si>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</si>
  <si>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</si>
  <si>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</si>
  <si>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</si>
  <si>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</si>
  <si>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</si>
  <si>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</si>
  <si>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</si>
  <si>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</si>
  <si>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</si>
  <si>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</si>
  <si>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</si>
  <si>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</si>
  <si>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</si>
  <si>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</si>
  <si>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</si>
  <si>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</si>
  <si>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</si>
  <si>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</si>
  <si>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</si>
  <si>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</si>
  <si>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</si>
  <si>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</si>
  <si>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</si>
  <si>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</si>
  <si>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</si>
  <si>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</si>
  <si>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</si>
  <si>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</si>
  <si>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</si>
  <si>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</si>
  <si>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</si>
  <si>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</si>
  <si>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</si>
  <si>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</si>
  <si>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</si>
  <si>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</si>
  <si>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</si>
  <si>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</si>
  <si>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</si>
  <si>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</si>
  <si>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</si>
  <si>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</si>
  <si>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</si>
  <si>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</si>
  <si>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</si>
  <si>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</si>
  <si>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</si>
  <si>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</si>
  <si>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</si>
  <si>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</si>
  <si>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</si>
  <si>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</si>
  <si>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</si>
  <si>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</si>
  <si>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</si>
  <si>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</si>
  <si>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</si>
  <si>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</si>
  <si>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</si>
  <si>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</si>
  <si>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</si>
  <si>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</si>
  <si>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</si>
  <si>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</si>
  <si>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</si>
  <si>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</si>
  <si>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</si>
  <si>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</si>
  <si>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</si>
  <si>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</si>
  <si>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</si>
  <si>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</si>
  <si>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</si>
  <si>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</si>
  <si>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</si>
  <si>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</si>
  <si>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</si>
  <si>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</si>
  <si>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</si>
  <si>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</si>
  <si>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</si>
  <si>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</si>
  <si>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</si>
  <si>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</si>
  <si>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</si>
  <si>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</si>
  <si>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</si>
  <si>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</si>
  <si>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</si>
  <si>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</si>
  <si>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</si>
  <si>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</si>
  <si>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</si>
  <si>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</si>
  <si>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</si>
  <si>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</si>
  <si>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</si>
  <si>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</si>
  <si>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</si>
  <si>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</si>
  <si>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</si>
  <si>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</si>
  <si>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</si>
  <si>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</si>
  <si>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</si>
  <si>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</si>
  <si>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</si>
  <si>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</si>
  <si>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</si>
  <si>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</si>
  <si>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</si>
  <si>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</si>
  <si>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</si>
  <si>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</si>
  <si>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</si>
  <si>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</si>
  <si>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</si>
  <si>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</si>
  <si>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</si>
  <si>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</si>
  <si>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</si>
  <si>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</si>
  <si>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</si>
  <si>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</si>
  <si>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</si>
  <si>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</si>
  <si>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</si>
  <si>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</si>
  <si>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</si>
  <si>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</si>
  <si>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</si>
  <si>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</si>
  <si>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</si>
  <si>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</si>
  <si>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</si>
  <si>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</si>
  <si>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</si>
  <si>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</si>
  <si>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</si>
  <si>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</si>
  <si>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</si>
  <si>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</si>
  <si>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</si>
  <si>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</si>
  <si>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</si>
  <si>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</si>
  <si>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</si>
  <si>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</si>
  <si>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</si>
  <si>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</si>
  <si>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</si>
  <si>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</si>
  <si>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</si>
  <si>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</si>
  <si>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</si>
  <si>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</si>
  <si>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</si>
  <si>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</si>
  <si>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</si>
  <si>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</si>
  <si>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</si>
  <si>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</si>
  <si>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</si>
  <si>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</si>
  <si>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</si>
  <si>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</si>
  <si>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</si>
  <si>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</si>
  <si>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</si>
  <si>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</si>
  <si>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</si>
  <si>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</si>
  <si>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</si>
  <si>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</si>
  <si>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</si>
  <si>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</si>
  <si>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</si>
  <si>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</si>
  <si>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</si>
  <si>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</si>
  <si>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</si>
  <si>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</si>
  <si>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</si>
  <si>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</si>
  <si>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</si>
  <si>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</si>
  <si>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</si>
  <si>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</si>
  <si>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</si>
  <si>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</si>
  <si>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</si>
  <si>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</si>
  <si>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</si>
  <si>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</si>
  <si>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</si>
  <si>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</si>
  <si>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</si>
  <si>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</si>
  <si>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</si>
  <si>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</si>
  <si>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</si>
  <si>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</si>
  <si>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</si>
  <si>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</si>
  <si>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</si>
  <si>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</si>
  <si>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</si>
  <si>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</si>
  <si>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</si>
  <si>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</si>
  <si>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</si>
  <si>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</si>
  <si>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</si>
  <si>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</si>
  <si>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</si>
  <si>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</si>
  <si>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</si>
  <si>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</si>
  <si>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</si>
  <si>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</si>
  <si>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</si>
  <si>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</si>
  <si>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</si>
  <si>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</si>
  <si>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</si>
  <si>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</si>
  <si>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</si>
  <si>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</si>
  <si>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</si>
  <si>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</si>
  <si>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</si>
  <si>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</si>
  <si>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</si>
  <si>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</si>
  <si>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</si>
  <si>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</si>
  <si>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</si>
  <si>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</si>
  <si>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</si>
  <si>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</si>
  <si>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</si>
  <si>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</si>
  <si>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</si>
  <si>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</si>
  <si>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</si>
  <si>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</si>
  <si>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</si>
  <si>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</si>
  <si>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</si>
  <si>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</si>
  <si>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</si>
  <si>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</si>
  <si>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</si>
  <si>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</si>
  <si>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</si>
  <si>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</si>
  <si>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</si>
  <si>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</si>
  <si>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</si>
  <si>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</si>
  <si>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</si>
  <si>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</si>
  <si>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</si>
  <si>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</si>
  <si>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</si>
  <si>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</si>
  <si>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</si>
  <si>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</si>
  <si>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</si>
  <si>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</si>
  <si>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</si>
  <si>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</si>
  <si>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</si>
  <si>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</si>
  <si>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</si>
  <si>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</si>
  <si>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</si>
  <si>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</si>
  <si>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</si>
  <si>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33016</t>
  </si>
  <si>
    <t>MESEN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</si>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</sst>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8034.8077256083998</c:v>
                </c:pt>
                <c:pt idx="1">
                  <c:v>1898.5571419596013</c:v>
                </c:pt>
                <c:pt idx="2">
                  <c:v>64.613</c:v>
                </c:pt>
                <c:pt idx="3">
                  <c:v>1237.9181788281048</c:v>
                </c:pt>
                <c:pt idx="4">
                  <c:v>177.14794813164394</c:v>
                </c:pt>
                <c:pt idx="5">
                  <c:v>2659.7362494715831</c:v>
                </c:pt>
                <c:pt idx="6">
                  <c:v>42.139733513755168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8034.8077256083998</c:v>
                </c:pt>
                <c:pt idx="1">
                  <c:v>1898.5571419596013</c:v>
                </c:pt>
                <c:pt idx="2">
                  <c:v>64.613</c:v>
                </c:pt>
                <c:pt idx="3">
                  <c:v>1237.9181788281048</c:v>
                </c:pt>
                <c:pt idx="4">
                  <c:v>177.14794813164394</c:v>
                </c:pt>
                <c:pt idx="5">
                  <c:v>2659.7362494715831</c:v>
                </c:pt>
                <c:pt idx="6">
                  <c:v>42.139733513755168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1562.0042898461347</c:v>
                </c:pt>
                <c:pt idx="2">
                  <c:v>353.69166594660982</c:v>
                </c:pt>
                <c:pt idx="3">
                  <c:v>13.332374677825218</c:v>
                </c:pt>
                <c:pt idx="4">
                  <c:v>315.59439953555574</c:v>
                </c:pt>
                <c:pt idx="5">
                  <c:v>35.322346034387039</c:v>
                </c:pt>
                <c:pt idx="6">
                  <c:v>665.38660372178401</c:v>
                </c:pt>
                <c:pt idx="7">
                  <c:v>10.646627411546723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1562.0042898461347</c:v>
                </c:pt>
                <c:pt idx="2">
                  <c:v>353.69166594660982</c:v>
                </c:pt>
                <c:pt idx="3">
                  <c:v>13.332374677825218</c:v>
                </c:pt>
                <c:pt idx="4">
                  <c:v>315.59439953555574</c:v>
                </c:pt>
                <c:pt idx="5">
                  <c:v>35.322346034387039</c:v>
                </c:pt>
                <c:pt idx="6">
                  <c:v>665.38660372178401</c:v>
                </c:pt>
                <c:pt idx="7">
                  <c:v>10.646627411546723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33016</v>
      </c>
      <c r="B6" s="415"/>
      <c r="C6" s="416"/>
    </row>
    <row r="7" spans="1:7" s="413" customFormat="1" ht="15.75" customHeight="1">
      <c r="A7" s="417" t="str">
        <f>txtMunicipality</f>
        <v>MESEN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0.20634198501578968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0.20634198501578968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446</v>
      </c>
      <c r="C9" s="342">
        <v>400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289.89999999999998</v>
      </c>
    </row>
    <row r="15" spans="1:6">
      <c r="A15" s="348" t="s">
        <v>184</v>
      </c>
      <c r="B15" s="334">
        <v>2</v>
      </c>
    </row>
    <row r="16" spans="1:6">
      <c r="A16" s="348" t="s">
        <v>6</v>
      </c>
      <c r="B16" s="334">
        <v>98</v>
      </c>
    </row>
    <row r="17" spans="1:6">
      <c r="A17" s="348" t="s">
        <v>7</v>
      </c>
      <c r="B17" s="334">
        <v>32</v>
      </c>
    </row>
    <row r="18" spans="1:6">
      <c r="A18" s="348" t="s">
        <v>8</v>
      </c>
      <c r="B18" s="334">
        <v>76</v>
      </c>
    </row>
    <row r="19" spans="1:6">
      <c r="A19" s="348" t="s">
        <v>9</v>
      </c>
      <c r="B19" s="334">
        <v>72</v>
      </c>
    </row>
    <row r="20" spans="1:6">
      <c r="A20" s="348" t="s">
        <v>10</v>
      </c>
      <c r="B20" s="334">
        <v>12</v>
      </c>
    </row>
    <row r="21" spans="1:6">
      <c r="A21" s="348" t="s">
        <v>11</v>
      </c>
      <c r="B21" s="334">
        <v>1386</v>
      </c>
    </row>
    <row r="22" spans="1:6">
      <c r="A22" s="348" t="s">
        <v>12</v>
      </c>
      <c r="B22" s="334">
        <v>4391</v>
      </c>
    </row>
    <row r="23" spans="1:6">
      <c r="A23" s="348" t="s">
        <v>13</v>
      </c>
      <c r="B23" s="334">
        <v>27</v>
      </c>
    </row>
    <row r="24" spans="1:6">
      <c r="A24" s="348" t="s">
        <v>14</v>
      </c>
      <c r="B24" s="334">
        <v>1</v>
      </c>
    </row>
    <row r="25" spans="1:6">
      <c r="A25" s="348" t="s">
        <v>15</v>
      </c>
      <c r="B25" s="334">
        <v>306</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378</v>
      </c>
      <c r="D39" s="334">
        <v>5623693.4861894799</v>
      </c>
      <c r="E39" s="334">
        <v>450</v>
      </c>
      <c r="F39" s="334">
        <v>1546698.4381402601</v>
      </c>
    </row>
    <row r="40" spans="1:6">
      <c r="A40" s="348" t="s">
        <v>30</v>
      </c>
      <c r="B40" s="348" t="s">
        <v>29</v>
      </c>
      <c r="C40" s="334">
        <v>0</v>
      </c>
      <c r="D40" s="334">
        <v>0</v>
      </c>
      <c r="E40" s="334">
        <v>0</v>
      </c>
      <c r="F40" s="334">
        <v>0</v>
      </c>
    </row>
    <row r="41" spans="1:6">
      <c r="A41" s="348" t="s">
        <v>32</v>
      </c>
      <c r="B41" s="348" t="s">
        <v>33</v>
      </c>
      <c r="C41" s="334">
        <v>0</v>
      </c>
      <c r="D41" s="334">
        <v>0</v>
      </c>
      <c r="E41" s="334">
        <v>6</v>
      </c>
      <c r="F41" s="334">
        <v>23706.110357480102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v>
      </c>
      <c r="D48" s="334">
        <v>107923.641107046</v>
      </c>
      <c r="E48" s="334">
        <v>3</v>
      </c>
      <c r="F48" s="334">
        <v>15043.688112281099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3</v>
      </c>
      <c r="F51" s="334">
        <v>136860.06725883399</v>
      </c>
    </row>
    <row r="52" spans="1:6">
      <c r="A52" s="348" t="s">
        <v>42</v>
      </c>
      <c r="B52" s="348" t="s">
        <v>29</v>
      </c>
      <c r="C52" s="334">
        <v>2</v>
      </c>
      <c r="D52" s="334">
        <v>69917.506541734198</v>
      </c>
      <c r="E52" s="334">
        <v>2</v>
      </c>
      <c r="F52" s="334">
        <v>83140.818229437602</v>
      </c>
    </row>
    <row r="53" spans="1:6">
      <c r="A53" s="348" t="s">
        <v>44</v>
      </c>
      <c r="B53" s="348" t="s">
        <v>45</v>
      </c>
      <c r="C53" s="334">
        <v>15</v>
      </c>
      <c r="D53" s="334">
        <v>171013.928894332</v>
      </c>
      <c r="E53" s="334">
        <v>25</v>
      </c>
      <c r="F53" s="334">
        <v>53378.311451864603</v>
      </c>
    </row>
    <row r="54" spans="1:6">
      <c r="A54" s="348" t="s">
        <v>46</v>
      </c>
      <c r="B54" s="348" t="s">
        <v>47</v>
      </c>
      <c r="C54" s="334">
        <v>0</v>
      </c>
      <c r="D54" s="334">
        <v>0</v>
      </c>
      <c r="E54" s="334">
        <v>1</v>
      </c>
      <c r="F54" s="334">
        <v>64613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278962.00752558501</v>
      </c>
      <c r="E57" s="334">
        <v>10</v>
      </c>
      <c r="F57" s="334">
        <v>191535.146278826</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6</v>
      </c>
      <c r="F61" s="334">
        <v>31076.635165714401</v>
      </c>
    </row>
    <row r="62" spans="1:6">
      <c r="A62" s="348" t="s">
        <v>49</v>
      </c>
      <c r="B62" s="348" t="s">
        <v>55</v>
      </c>
      <c r="C62" s="334">
        <v>0</v>
      </c>
      <c r="D62" s="334">
        <v>0</v>
      </c>
      <c r="E62" s="334">
        <v>0</v>
      </c>
      <c r="F62" s="334">
        <v>0</v>
      </c>
    </row>
    <row r="63" spans="1:6">
      <c r="A63" s="348" t="s">
        <v>49</v>
      </c>
      <c r="B63" s="348" t="s">
        <v>29</v>
      </c>
      <c r="C63" s="334">
        <v>12</v>
      </c>
      <c r="D63" s="334">
        <v>760093.27354632504</v>
      </c>
      <c r="E63" s="334">
        <v>22</v>
      </c>
      <c r="F63" s="334">
        <v>406359.347048653</v>
      </c>
    </row>
    <row r="64" spans="1:6">
      <c r="A64" s="348" t="s">
        <v>56</v>
      </c>
      <c r="B64" s="348" t="s">
        <v>57</v>
      </c>
      <c r="C64" s="334">
        <v>0</v>
      </c>
      <c r="D64" s="334">
        <v>0</v>
      </c>
      <c r="E64" s="334">
        <v>0</v>
      </c>
      <c r="F64" s="334">
        <v>0</v>
      </c>
    </row>
    <row r="65" spans="1:6">
      <c r="A65" s="348" t="s">
        <v>56</v>
      </c>
      <c r="B65" s="348" t="s">
        <v>29</v>
      </c>
      <c r="C65" s="334">
        <v>0</v>
      </c>
      <c r="D65" s="334">
        <v>0</v>
      </c>
      <c r="E65" s="334">
        <v>1</v>
      </c>
      <c r="F65" s="334">
        <v>16.782901977600002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3577049</v>
      </c>
      <c r="E73" s="475">
        <v>3633544.3869220028</v>
      </c>
    </row>
    <row r="74" spans="1:6">
      <c r="A74" s="348" t="s">
        <v>64</v>
      </c>
      <c r="B74" s="348" t="s">
        <v>657</v>
      </c>
      <c r="C74" s="1295" t="s">
        <v>659</v>
      </c>
      <c r="D74" s="475">
        <v>208746.5</v>
      </c>
      <c r="E74" s="475">
        <v>214781.59693128458</v>
      </c>
    </row>
    <row r="75" spans="1:6">
      <c r="A75" s="348" t="s">
        <v>65</v>
      </c>
      <c r="B75" s="348" t="s">
        <v>656</v>
      </c>
      <c r="C75" s="1295" t="s">
        <v>660</v>
      </c>
      <c r="D75" s="475">
        <v>0</v>
      </c>
      <c r="E75" s="475">
        <v>0</v>
      </c>
    </row>
    <row r="76" spans="1:6">
      <c r="A76" s="348" t="s">
        <v>65</v>
      </c>
      <c r="B76" s="348" t="s">
        <v>657</v>
      </c>
      <c r="C76" s="1295" t="s">
        <v>661</v>
      </c>
      <c r="D76" s="475">
        <v>0</v>
      </c>
      <c r="E76" s="475">
        <v>0</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11429</v>
      </c>
      <c r="C83" s="475">
        <v>11418.975539608753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114.39600421952832</v>
      </c>
    </row>
    <row r="92" spans="1:6">
      <c r="A92" s="341" t="s">
        <v>69</v>
      </c>
      <c r="B92" s="342">
        <v>62.575635423308007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271</v>
      </c>
    </row>
    <row r="98" spans="1:6">
      <c r="A98" s="348" t="s">
        <v>72</v>
      </c>
      <c r="B98" s="334">
        <v>0</v>
      </c>
    </row>
    <row r="99" spans="1:6">
      <c r="A99" s="348" t="s">
        <v>73</v>
      </c>
      <c r="B99" s="334">
        <v>5</v>
      </c>
    </row>
    <row r="100" spans="1:6">
      <c r="A100" s="348" t="s">
        <v>74</v>
      </c>
      <c r="B100" s="334">
        <v>16</v>
      </c>
    </row>
    <row r="101" spans="1:6">
      <c r="A101" s="348" t="s">
        <v>75</v>
      </c>
      <c r="B101" s="334">
        <v>4</v>
      </c>
    </row>
    <row r="102" spans="1:6">
      <c r="A102" s="348" t="s">
        <v>76</v>
      </c>
      <c r="B102" s="334">
        <v>7</v>
      </c>
    </row>
    <row r="103" spans="1:6">
      <c r="A103" s="348" t="s">
        <v>77</v>
      </c>
      <c r="B103" s="334">
        <v>22</v>
      </c>
    </row>
    <row r="104" spans="1:6">
      <c r="A104" s="348" t="s">
        <v>78</v>
      </c>
      <c r="B104" s="334">
        <v>47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v>
      </c>
    </row>
    <row r="130" spans="1:6">
      <c r="A130" s="348" t="s">
        <v>295</v>
      </c>
      <c r="B130" s="334">
        <v>0</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2668.2147891919267</v>
      </c>
      <c r="C3" s="43" t="s">
        <v>170</v>
      </c>
      <c r="D3" s="43"/>
      <c r="E3" s="154"/>
      <c r="F3" s="43"/>
      <c r="G3" s="43"/>
      <c r="H3" s="43"/>
      <c r="I3" s="43"/>
      <c r="J3" s="43"/>
      <c r="K3" s="96"/>
    </row>
    <row r="4" spans="1:11">
      <c r="A4" s="383" t="s">
        <v>171</v>
      </c>
      <c r="B4" s="49">
        <f>IF(ISERROR('SEAP template'!B78+'SEAP template'!C78),0,'SEAP template'!B78+'SEAP template'!C78)</f>
        <v>176.97163964283632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0.20634198501578968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64.613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64.613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0.20634198501578968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13.332374677825218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1546.6984381402601</v>
      </c>
      <c r="C5" s="17">
        <f>IF(ISERROR('Eigen informatie GS &amp; warmtenet'!B57),0,'Eigen informatie GS &amp; warmtenet'!B57)</f>
        <v>0</v>
      </c>
      <c r="D5" s="30">
        <f>(SUM(HH_hh_gas_kWh,HH_rest_gas_kWh)/1000)*0.902</f>
        <v>5072.571524542911</v>
      </c>
      <c r="E5" s="17">
        <f>B46*B57</f>
        <v>235.87205910876165</v>
      </c>
      <c r="F5" s="17">
        <f>B51*B62</f>
        <v>0</v>
      </c>
      <c r="G5" s="18"/>
      <c r="H5" s="17"/>
      <c r="I5" s="17"/>
      <c r="J5" s="17">
        <f>B50*B61+C50*C61</f>
        <v>398.44169473322847</v>
      </c>
      <c r="K5" s="17"/>
      <c r="L5" s="17"/>
      <c r="M5" s="17"/>
      <c r="N5" s="17">
        <f>B48*B59+C48*C59</f>
        <v>643.07133819704495</v>
      </c>
      <c r="O5" s="17">
        <f>B69*B70*B71</f>
        <v>4.6900000000000004</v>
      </c>
      <c r="P5" s="17">
        <f>B77*B78*B79/1000-B77*B78*B79/1000/B80</f>
        <v>19.066666666666666</v>
      </c>
    </row>
    <row r="6" spans="1:16">
      <c r="A6" s="16" t="s">
        <v>621</v>
      </c>
      <c r="B6" s="788">
        <f>kWh_PV_kleiner_dan_10kW</f>
        <v>114.39600421952832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1661.0944423597884</v>
      </c>
      <c r="C8" s="21">
        <f>C5</f>
        <v>0</v>
      </c>
      <c r="D8" s="21">
        <f>D5</f>
        <v>5072.571524542911</v>
      </c>
      <c r="E8" s="21">
        <f>E5</f>
        <v>235.87205910876165</v>
      </c>
      <c r="F8" s="21">
        <f>F5</f>
        <v>0</v>
      </c>
      <c r="G8" s="21"/>
      <c r="H8" s="21"/>
      <c r="I8" s="21"/>
      <c r="J8" s="21">
        <f>J5</f>
        <v>398.44169473322847</v>
      </c>
      <c r="K8" s="21"/>
      <c r="L8" s="21">
        <f>L5</f>
        <v>0</v>
      </c>
      <c r="M8" s="21">
        <f>M5</f>
        <v>0</v>
      </c>
      <c r="N8" s="21">
        <f>N5</f>
        <v>643.07133819704495</v>
      </c>
      <c r="O8" s="21">
        <f>O5</f>
        <v>4.6900000000000004</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0.20634198501578968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342.75352453521498</v>
      </c>
      <c r="C12" s="23">
        <f ca="1">C10*C8</f>
        <v>0</v>
      </c>
      <c r="D12" s="23">
        <f>D8*D10</f>
        <v>1024.6594479576681</v>
      </c>
      <c r="E12" s="23">
        <f>E10*E8</f>
        <v>53.542957417688896</v>
      </c>
      <c r="F12" s="23">
        <f>F10*F8</f>
        <v>0</v>
      </c>
      <c r="G12" s="23"/>
      <c r="H12" s="23"/>
      <c r="I12" s="23"/>
      <c r="J12" s="23">
        <f>J10*J8</f>
        <v>141.04835993556287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v>
      </c>
      <c r="C18" s="166" t="s">
        <v>111</v>
      </c>
      <c r="D18" s="228"/>
      <c r="E18" s="15"/>
    </row>
    <row r="19" spans="1:7">
      <c r="A19" s="171" t="s">
        <v>72</v>
      </c>
      <c r="B19" s="37">
        <f>aantalw2001_ander</f>
        <v>0</v>
      </c>
      <c r="C19" s="166" t="s">
        <v>111</v>
      </c>
      <c r="D19" s="229"/>
      <c r="E19" s="15"/>
    </row>
    <row r="20" spans="1:7">
      <c r="A20" s="171" t="s">
        <v>73</v>
      </c>
      <c r="B20" s="37">
        <f>aantalw2001_propaan</f>
        <v>5</v>
      </c>
      <c r="C20" s="167">
        <f>IF(ISERROR(B20/SUM($B$20,$B$21,$B$22)*100),0,B20/SUM($B$20,$B$21,$B$22)*100)</f>
        <v>20</v>
      </c>
      <c r="D20" s="229"/>
      <c r="E20" s="15"/>
    </row>
    <row r="21" spans="1:7">
      <c r="A21" s="171" t="s">
        <v>74</v>
      </c>
      <c r="B21" s="37">
        <f>aantalw2001_elektriciteit</f>
        <v>16</v>
      </c>
      <c r="C21" s="167">
        <f>IF(ISERROR(B21/SUM($B$20,$B$21,$B$22)*100),0,B21/SUM($B$20,$B$21,$B$22)*100)</f>
        <v>64</v>
      </c>
      <c r="D21" s="229"/>
      <c r="E21" s="15"/>
    </row>
    <row r="22" spans="1:7">
      <c r="A22" s="171" t="s">
        <v>75</v>
      </c>
      <c r="B22" s="37">
        <f>aantalw2001_hout</f>
        <v>4</v>
      </c>
      <c r="C22" s="167">
        <f>IF(ISERROR(B22/SUM($B$20,$B$21,$B$22)*100),0,B22/SUM($B$20,$B$21,$B$22)*100)</f>
        <v>16</v>
      </c>
      <c r="D22" s="229"/>
      <c r="E22" s="15"/>
    </row>
    <row r="23" spans="1:7">
      <c r="A23" s="171" t="s">
        <v>76</v>
      </c>
      <c r="B23" s="37">
        <f>aantalw2001_niet_gespec</f>
        <v>7</v>
      </c>
      <c r="C23" s="166" t="s">
        <v>111</v>
      </c>
      <c r="D23" s="228"/>
      <c r="E23" s="15"/>
    </row>
    <row r="24" spans="1:7">
      <c r="A24" s="171" t="s">
        <v>77</v>
      </c>
      <c r="B24" s="37">
        <f>aantalw2001_steenkool</f>
        <v>22</v>
      </c>
      <c r="C24" s="166" t="s">
        <v>111</v>
      </c>
      <c r="D24" s="229"/>
      <c r="E24" s="15"/>
    </row>
    <row r="25" spans="1:7">
      <c r="A25" s="171" t="s">
        <v>78</v>
      </c>
      <c r="B25" s="37">
        <f>aantalw2001_stookolie</f>
        <v>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446</v>
      </c>
      <c r="C28" s="36"/>
      <c r="D28" s="228"/>
    </row>
    <row r="29" spans="1:7" s="15" customFormat="1">
      <c r="A29" s="230" t="s">
        <v>794</v>
      </c>
      <c r="B29" s="37">
        <f>SUM(HH_hh_gas_aantal,HH_rest_gas_aantal)</f>
        <v>378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378</v>
      </c>
      <c r="C32" s="167">
        <f>IF(ISERROR(B32/SUM($B$32,$B$34,$B$35,$B$36,$B$38,$B$39)*100),0,B32/SUM($B$32,$B$34,$B$35,$B$36,$B$38,$B$39)*100)</f>
        <v>84.943820224719104</v>
      </c>
      <c r="D32" s="233"/>
      <c r="G32" s="15"/>
    </row>
    <row r="33" spans="1:7">
      <c r="A33" s="171" t="s">
        <v>72</v>
      </c>
      <c r="B33" s="34" t="s">
        <v>111</v>
      </c>
      <c r="C33" s="167"/>
      <c r="D33" s="233"/>
      <c r="G33" s="15"/>
    </row>
    <row r="34" spans="1:7">
      <c r="A34" s="171" t="s">
        <v>73</v>
      </c>
      <c r="B34" s="33">
        <f>IF((($B$28-$B$32-$B$39-$B$77-$B$38)*C20/100)&lt;0,0,($B$28-$B$32-$B$39-$B$77-$B$38)*C20/100)</f>
        <v>11.14</v>
      </c>
      <c r="C34" s="167">
        <f>IF(ISERROR(B34/SUM($B$32,$B$34,$B$35,$B$36,$B$38,$B$39)*100),0,B34/SUM($B$32,$B$34,$B$35,$B$36,$B$38,$B$39)*100)</f>
        <v>2.5033707865168542</v>
      </c>
      <c r="D34" s="233"/>
      <c r="G34" s="15"/>
    </row>
    <row r="35" spans="1:7">
      <c r="A35" s="171" t="s">
        <v>74</v>
      </c>
      <c r="B35" s="33">
        <f>IF((($B$28-$B$32-$B$39-$B$77-$B$38)*C21/100)&lt;0,0,($B$28-$B$32-$B$39-$B$77-$B$38)*C21/100)</f>
        <v>35.648000000000003</v>
      </c>
      <c r="C35" s="167">
        <f>IF(ISERROR(B35/SUM($B$32,$B$34,$B$35,$B$36,$B$38,$B$39)*100),0,B35/SUM($B$32,$B$34,$B$35,$B$36,$B$38,$B$39)*100)</f>
        <v>8.0107865168539334</v>
      </c>
      <c r="D35" s="233"/>
      <c r="G35" s="15"/>
    </row>
    <row r="36" spans="1:7">
      <c r="A36" s="171" t="s">
        <v>75</v>
      </c>
      <c r="B36" s="33">
        <f>IF((($B$28-$B$32-$B$39-$B$77-$B$38)*C22/100)&lt;0,0,($B$28-$B$32-$B$39-$B$77-$B$38)*C22/100)</f>
        <v>8.9120000000000008</v>
      </c>
      <c r="C36" s="167">
        <f>IF(ISERROR(B36/SUM($B$32,$B$34,$B$35,$B$36,$B$38,$B$39)*100),0,B36/SUM($B$32,$B$34,$B$35,$B$36,$B$38,$B$39)*100)</f>
        <v>2.0026966292134833</v>
      </c>
      <c r="D36" s="233"/>
      <c r="G36" s="15"/>
    </row>
    <row r="37" spans="1:7">
      <c r="A37" s="171" t="s">
        <v>76</v>
      </c>
      <c r="B37" s="34" t="s">
        <v>111</v>
      </c>
      <c r="C37" s="167"/>
      <c r="D37" s="173"/>
      <c r="G37" s="15"/>
    </row>
    <row r="38" spans="1:7">
      <c r="A38" s="171" t="s">
        <v>77</v>
      </c>
      <c r="B38" s="33">
        <f>IF((B24-(B29-B18)*0.1)&lt;0,0,B24-(B29-B18)*0.1)</f>
        <v>11.299999999999999</v>
      </c>
      <c r="C38" s="167">
        <f>IF(ISERROR(B38/SUM($B$32,$B$34,$B$35,$B$36,$B$38,$B$39)*100),0,B38/SUM($B$32,$B$34,$B$35,$B$36,$B$38,$B$39)*100)</f>
        <v>2.5393258426966292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378</v>
      </c>
      <c r="C44" s="34" t="s">
        <v>111</v>
      </c>
      <c r="D44" s="174"/>
    </row>
    <row r="45" spans="1:7">
      <c r="A45" s="171" t="s">
        <v>72</v>
      </c>
      <c r="B45" s="33" t="str">
        <f t="shared" si="0"/>
        <v>-</v>
      </c>
      <c r="C45" s="34" t="s">
        <v>111</v>
      </c>
      <c r="D45" s="174"/>
    </row>
    <row r="46" spans="1:7">
      <c r="A46" s="171" t="s">
        <v>73</v>
      </c>
      <c r="B46" s="33">
        <f t="shared" si="0"/>
        <v>11.14</v>
      </c>
      <c r="C46" s="34" t="s">
        <v>111</v>
      </c>
      <c r="D46" s="174"/>
    </row>
    <row r="47" spans="1:7">
      <c r="A47" s="171" t="s">
        <v>74</v>
      </c>
      <c r="B47" s="33">
        <f t="shared" si="0"/>
        <v>35.648000000000003</v>
      </c>
      <c r="C47" s="34" t="s">
        <v>111</v>
      </c>
      <c r="D47" s="174"/>
    </row>
    <row r="48" spans="1:7">
      <c r="A48" s="171" t="s">
        <v>75</v>
      </c>
      <c r="B48" s="33">
        <f t="shared" si="0"/>
        <v>8.9120000000000008</v>
      </c>
      <c r="C48" s="33">
        <f>B48*10</f>
        <v>89.12</v>
      </c>
      <c r="D48" s="234"/>
    </row>
    <row r="49" spans="1:6">
      <c r="A49" s="171" t="s">
        <v>76</v>
      </c>
      <c r="B49" s="33" t="str">
        <f t="shared" si="0"/>
        <v>-</v>
      </c>
      <c r="C49" s="34" t="s">
        <v>111</v>
      </c>
      <c r="D49" s="234"/>
    </row>
    <row r="50" spans="1:6">
      <c r="A50" s="171" t="s">
        <v>77</v>
      </c>
      <c r="B50" s="33">
        <f t="shared" si="0"/>
        <v>11.299999999999999</v>
      </c>
      <c r="C50" s="33">
        <f>B50*2</f>
        <v>22.599999999999998</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628.97112849319342</v>
      </c>
      <c r="C5" s="17">
        <f>IF(ISERROR('Eigen informatie GS &amp; warmtenet'!B58),0,'Eigen informatie GS &amp; warmtenet'!B58)</f>
        <v>0</v>
      </c>
      <c r="D5" s="30">
        <f>SUM(D6:D12)</f>
        <v>937.22786352686285</v>
      </c>
      <c r="E5" s="17">
        <f>SUM(E6:E12)</f>
        <v>5.2746610328428778</v>
      </c>
      <c r="F5" s="17">
        <f>SUM(F6:F12)</f>
        <v>125.05362622677845</v>
      </c>
      <c r="G5" s="18"/>
      <c r="H5" s="17"/>
      <c r="I5" s="17"/>
      <c r="J5" s="17">
        <f>SUM(J6:J12)</f>
        <v>5.1414866426442206E-3</v>
      </c>
      <c r="K5" s="17"/>
      <c r="L5" s="17"/>
      <c r="M5" s="17"/>
      <c r="N5" s="17">
        <f>SUM(N6:N12)</f>
        <v>202.02472119328081</v>
      </c>
      <c r="O5" s="17">
        <f>B38*B39*B40</f>
        <v>0</v>
      </c>
      <c r="P5" s="17">
        <f>B46*B47*B48/1000-B46*B47*B48/1000/B49</f>
        <v>0</v>
      </c>
      <c r="R5" s="32"/>
    </row>
    <row r="6" spans="1:18">
      <c r="A6" s="32" t="s">
        <v>54</v>
      </c>
      <c r="B6" s="37">
        <f>B26</f>
        <v>31.0766351657144</v>
      </c>
      <c r="C6" s="33"/>
      <c r="D6" s="37">
        <f>IF(ISERROR(TER_kantoor_gas_kWh/1000),0,TER_kantoor_gas_kWh/1000)*0.902</f>
        <v>0</v>
      </c>
      <c r="E6" s="33">
        <f>$C$26*'E Balans VL '!I12/100/3.6*1000000</f>
        <v>1.9477801329176862E-4</v>
      </c>
      <c r="F6" s="33">
        <f>$C$26*('E Balans VL '!L12+'E Balans VL '!N12)/100/3.6*1000000</f>
        <v>4.6699499014012016</v>
      </c>
      <c r="G6" s="34"/>
      <c r="H6" s="33"/>
      <c r="I6" s="33"/>
      <c r="J6" s="33">
        <f>$C$26*('E Balans VL '!D12+'E Balans VL '!E12)/100/3.6*1000000</f>
        <v>0</v>
      </c>
      <c r="K6" s="33"/>
      <c r="L6" s="33"/>
      <c r="M6" s="33"/>
      <c r="N6" s="33">
        <f>$C$26*'E Balans VL '!Y12/100/3.6*1000000</f>
        <v>2.972019391918344E-2</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191.53514627882601</v>
      </c>
      <c r="C10" s="33"/>
      <c r="D10" s="37">
        <f>IF(ISERROR(TER_ander_gas_kWh/1000),0,TER_ander_gas_kWh/1000)*0.902</f>
        <v>251.62373078807769</v>
      </c>
      <c r="E10" s="33">
        <f>$C$30*'E Balans VL '!I14/100/3.6*1000000</f>
        <v>0.22830305005471768</v>
      </c>
      <c r="F10" s="33">
        <f>$C$30*('E Balans VL '!L14+'E Balans VL '!N14)/100/3.6*1000000</f>
        <v>50.11410925035085</v>
      </c>
      <c r="G10" s="34"/>
      <c r="H10" s="33"/>
      <c r="I10" s="33"/>
      <c r="J10" s="33">
        <f>$C$30*('E Balans VL '!D14+'E Balans VL '!E14)/100/3.6*1000000</f>
        <v>4.1574772286708771E-3</v>
      </c>
      <c r="K10" s="33"/>
      <c r="L10" s="33"/>
      <c r="M10" s="33"/>
      <c r="N10" s="33">
        <f>$C$30*'E Balans VL '!Y14/100/3.6*1000000</f>
        <v>162.64695942092098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406.35934704865298</v>
      </c>
      <c r="C12" s="33"/>
      <c r="D12" s="37">
        <f>IF(ISERROR(TER_rest_gas_kWh/1000),0,TER_rest_gas_kWh/1000)*0.902</f>
        <v>685.60413273878521</v>
      </c>
      <c r="E12" s="33">
        <f>$C$32*'E Balans VL '!I8/100/3.6*1000000</f>
        <v>5.0461632047748681</v>
      </c>
      <c r="F12" s="33">
        <f>$C$32*('E Balans VL '!L8+'E Balans VL '!N8)/100/3.6*1000000</f>
        <v>70.269567075026387</v>
      </c>
      <c r="G12" s="34"/>
      <c r="H12" s="33"/>
      <c r="I12" s="33"/>
      <c r="J12" s="33">
        <f>$C$32*('E Balans VL '!D8+'E Balans VL '!E8)/100/3.6*1000000</f>
        <v>9.8400941397334333E-4</v>
      </c>
      <c r="K12" s="33"/>
      <c r="L12" s="33"/>
      <c r="M12" s="33"/>
      <c r="N12" s="33">
        <f>$C$32*'E Balans VL '!Y8/100/3.6*1000000</f>
        <v>39.348041578440657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628.97112849319342</v>
      </c>
      <c r="C16" s="21">
        <f t="shared" ca="1" si="1"/>
        <v>0</v>
      </c>
      <c r="D16" s="21">
        <f t="shared" ca="1" si="1"/>
        <v>937.22786352686285</v>
      </c>
      <c r="E16" s="21">
        <f t="shared" si="1"/>
        <v>5.2746610328428778</v>
      </c>
      <c r="F16" s="21">
        <f t="shared" ca="1" si="1"/>
        <v>125.05362622677845</v>
      </c>
      <c r="G16" s="21">
        <f t="shared" si="1"/>
        <v>0</v>
      </c>
      <c r="H16" s="21">
        <f t="shared" si="1"/>
        <v>0</v>
      </c>
      <c r="I16" s="21">
        <f t="shared" si="1"/>
        <v>0</v>
      </c>
      <c r="J16" s="21">
        <f t="shared" si="1"/>
        <v>5.1414866426442206E-3</v>
      </c>
      <c r="K16" s="21">
        <f t="shared" si="1"/>
        <v>0</v>
      </c>
      <c r="L16" s="21">
        <f t="shared" ca="1" si="1"/>
        <v>0</v>
      </c>
      <c r="M16" s="21">
        <f t="shared" si="1"/>
        <v>0</v>
      </c>
      <c r="N16" s="21">
        <f t="shared" ca="1" si="1"/>
        <v>202.02472119328081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0.20634198501578968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129.78315117090685</v>
      </c>
      <c r="C20" s="23">
        <f t="shared" ref="C20:P20" ca="1" si="2">C16*C18</f>
        <v>0</v>
      </c>
      <c r="D20" s="23">
        <f t="shared" ca="1" si="2"/>
        <v>189.32002843242631</v>
      </c>
      <c r="E20" s="23">
        <f t="shared" si="2"/>
        <v>1.1973480544553332</v>
      </c>
      <c r="F20" s="23">
        <f t="shared" ca="1" si="2"/>
        <v>33.389318202549845</v>
      </c>
      <c r="G20" s="23">
        <f t="shared" si="2"/>
        <v>0</v>
      </c>
      <c r="H20" s="23">
        <f t="shared" si="2"/>
        <v>0</v>
      </c>
      <c r="I20" s="23">
        <f t="shared" si="2"/>
        <v>0</v>
      </c>
      <c r="J20" s="23">
        <f t="shared" si="2"/>
        <v>1.820086271496054E-3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31.0766351657144</v>
      </c>
      <c r="C26" s="39">
        <f>IF(ISERROR(B26*3.6/1000000/'E Balans VL '!Z12*100),0,B26*3.6/1000000/'E Balans VL '!Z12*100)</f>
        <v>6.5691083803659446E-4</v>
      </c>
      <c r="D26" s="237" t="s">
        <v>754</v>
      </c>
      <c r="F26" s="6"/>
    </row>
    <row r="27" spans="1:18">
      <c r="A27" s="231" t="s">
        <v>53</v>
      </c>
      <c r="B27" s="33">
        <f>IF(ISERROR(TER_horeca_ele_kWh/1000),0,TER_horeca_ele_kWh/1000)</f>
        <v>0</v>
      </c>
      <c r="C27" s="39">
        <f>IF(ISERROR(B27*3.6/1000000/'E Balans VL '!Z9*100),0,B27*3.6/1000000/'E Balans VL '!Z9*100)</f>
        <v>0</v>
      </c>
      <c r="D27" s="237" t="s">
        <v>754</v>
      </c>
      <c r="F27" s="6"/>
    </row>
    <row r="28" spans="1:18">
      <c r="A28" s="171" t="s">
        <v>52</v>
      </c>
      <c r="B28" s="33">
        <f>IF(ISERROR(TER_handel_ele_kWh/1000),0,TER_handel_ele_kWh/1000)</f>
        <v>0</v>
      </c>
      <c r="C28" s="39">
        <f>IF(ISERROR(B28*3.6/1000000/'E Balans VL '!Z13*100),0,B28*3.6/1000000/'E Balans VL '!Z13*100)</f>
        <v>0</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191.53514627882601</v>
      </c>
      <c r="C30" s="39">
        <f>IF(ISERROR(B30*3.6/1000000/'E Balans VL '!Z14*100),0,B30*3.6/1000000/'E Balans VL '!Z14*100)</f>
        <v>1.4127673990753037E-2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406.35934704865298</v>
      </c>
      <c r="C32" s="39">
        <f>IF(ISERROR(B32*3.6/1000000/'E Balans VL '!Z8*100),0,B32*3.6/1000000/'E Balans VL '!Z8*100)</f>
        <v>3.3437980390073388E-3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38.749798469761203</v>
      </c>
      <c r="C5" s="17">
        <f>IF(ISERROR('Eigen informatie GS &amp; warmtenet'!B59),0,'Eigen informatie GS &amp; warmtenet'!B59)</f>
        <v>0</v>
      </c>
      <c r="D5" s="30">
        <f>SUM(D6:D15)</f>
        <v>97.347124278555484</v>
      </c>
      <c r="E5" s="17">
        <f>SUM(E6:E15)</f>
        <v>7.7604089602240842</v>
      </c>
      <c r="F5" s="17">
        <f>SUM(F6:F15)</f>
        <v>22.029358409678782</v>
      </c>
      <c r="G5" s="18"/>
      <c r="H5" s="17"/>
      <c r="I5" s="17"/>
      <c r="J5" s="17">
        <f>SUM(J6:J15)</f>
        <v>5.3856117376792981E-2</v>
      </c>
      <c r="K5" s="17"/>
      <c r="L5" s="17"/>
      <c r="M5" s="17"/>
      <c r="N5" s="17">
        <f>SUM(N6:N15)</f>
        <v>11.207401896047596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23.706110357480103</v>
      </c>
      <c r="C9" s="33"/>
      <c r="D9" s="37">
        <f>IF( ISERROR(IND_andere_gas_kWh/1000),0,IND_andere_gas_kWh/1000)*0.902</f>
        <v>0</v>
      </c>
      <c r="E9" s="33">
        <f>C31*'E Balans VL '!I19/100/3.6*1000000</f>
        <v>6.9297575610260669</v>
      </c>
      <c r="F9" s="33">
        <f>C31*'E Balans VL '!L19/100/3.6*1000000+C31*'E Balans VL '!N19/100/3.6*1000000</f>
        <v>19.04965405991036</v>
      </c>
      <c r="G9" s="34"/>
      <c r="H9" s="33"/>
      <c r="I9" s="33"/>
      <c r="J9" s="40">
        <f>C31*'E Balans VL '!D19/100/3.6*1000000+C31*'E Balans VL '!E19/100/3.6*1000000</f>
        <v>0</v>
      </c>
      <c r="K9" s="33"/>
      <c r="L9" s="33"/>
      <c r="M9" s="33"/>
      <c r="N9" s="33">
        <f>C31*'E Balans VL '!Y19/100/3.6*1000000</f>
        <v>7.8328665178162602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15.043688112281099</v>
      </c>
      <c r="C15" s="33"/>
      <c r="D15" s="37">
        <f>IF( ISERROR(IND_rest_gas_kWh/1000),0,IND_rest_gas_kWh/1000)*0.902</f>
        <v>97.347124278555484</v>
      </c>
      <c r="E15" s="33">
        <f>C37*'E Balans VL '!I15/100/3.6*1000000</f>
        <v>0.83065139919801745</v>
      </c>
      <c r="F15" s="33">
        <f>C37*'E Balans VL '!L15/100/3.6*1000000+C37*'E Balans VL '!N15/100/3.6*1000000</f>
        <v>2.9797043497684221</v>
      </c>
      <c r="G15" s="34"/>
      <c r="H15" s="33"/>
      <c r="I15" s="33"/>
      <c r="J15" s="40">
        <f>C37*'E Balans VL '!D15/100/3.6*1000000+C37*'E Balans VL '!E15/100/3.6*1000000</f>
        <v>5.3856117376792981E-2</v>
      </c>
      <c r="K15" s="33"/>
      <c r="L15" s="33"/>
      <c r="M15" s="33"/>
      <c r="N15" s="33">
        <f>C37*'E Balans VL '!Y15/100/3.6*1000000</f>
        <v>3.3745353782313359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38.749798469761203</v>
      </c>
      <c r="C18" s="21">
        <f>C5+C16</f>
        <v>0</v>
      </c>
      <c r="D18" s="21">
        <f>MAX((D5+D16),0)</f>
        <v>97.347124278555484</v>
      </c>
      <c r="E18" s="21">
        <f>MAX((E5+E16),0)</f>
        <v>7.7604089602240842</v>
      </c>
      <c r="F18" s="21">
        <f>MAX((F5+F16),0)</f>
        <v>22.029358409678782</v>
      </c>
      <c r="G18" s="21"/>
      <c r="H18" s="21"/>
      <c r="I18" s="21"/>
      <c r="J18" s="21">
        <f>MAX((J5+J16),0)</f>
        <v>5.3856117376792981E-2</v>
      </c>
      <c r="K18" s="21"/>
      <c r="L18" s="21">
        <f>MAX((L5+L16),0)</f>
        <v>0</v>
      </c>
      <c r="M18" s="21"/>
      <c r="N18" s="21">
        <f>MAX((N5+N16),0)</f>
        <v>11.207401896047596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0.20634198501578968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7.995710335212336</v>
      </c>
      <c r="C22" s="23">
        <f ca="1">C18*C20</f>
        <v>0</v>
      </c>
      <c r="D22" s="23">
        <f>D18*D20</f>
        <v>19.66411910426821</v>
      </c>
      <c r="E22" s="23">
        <f>E18*E20</f>
        <v>1.7616128339708672</v>
      </c>
      <c r="F22" s="23">
        <f>F18*F20</f>
        <v>5.8818386953842348</v>
      </c>
      <c r="G22" s="23"/>
      <c r="H22" s="23"/>
      <c r="I22" s="23"/>
      <c r="J22" s="23">
        <f>J18*J20</f>
        <v>1.9065065551384715E-2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23.706110357480103</v>
      </c>
      <c r="C31" s="39">
        <f>IF(ISERROR(B31*3.6/1000000/'E Balans VL '!Z19*100),0,B31*3.6/1000000/'E Balans VL '!Z19*100)</f>
        <v>1.0752104552897955E-3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15.043688112281099</v>
      </c>
      <c r="C37" s="39">
        <f>IF(ISERROR(B37*3.6/1000000/'E Balans VL '!Z15*100),0,B37*3.6/1000000/'E Balans VL '!Z15*100)</f>
        <v>1.1923970369592964E-4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220.00088548827159</v>
      </c>
      <c r="C5" s="17">
        <f>'Eigen informatie GS &amp; warmtenet'!B60</f>
        <v>0</v>
      </c>
      <c r="D5" s="30">
        <f>IF(ISERROR(SUM(LB_lb_gas_kWh,LB_rest_gas_kWh)/1000),0,SUM(LB_lb_gas_kWh,LB_rest_gas_kWh)/1000)*0.902</f>
        <v>63.065590900644246</v>
      </c>
      <c r="E5" s="17">
        <f>B17*'E Balans VL '!I25/3.6*1000000/100</f>
        <v>6.4664979847632447</v>
      </c>
      <c r="F5" s="17">
        <f>B17*('E Balans VL '!L25/3.6*1000000+'E Balans VL '!N25/3.6*1000000)/100</f>
        <v>916.51180072027273</v>
      </c>
      <c r="G5" s="18"/>
      <c r="H5" s="17"/>
      <c r="I5" s="17"/>
      <c r="J5" s="17">
        <f>('E Balans VL '!D25+'E Balans VL '!E25)/3.6*1000000*landbouw!B17/100</f>
        <v>31.873403734153033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220.00088548827159</v>
      </c>
      <c r="C8" s="21">
        <f>C5+C6</f>
        <v>0</v>
      </c>
      <c r="D8" s="21">
        <f>MAX((D5+D6),0)</f>
        <v>63.065590900644246</v>
      </c>
      <c r="E8" s="21">
        <f>MAX((E5+E6),0)</f>
        <v>6.4664979847632447</v>
      </c>
      <c r="F8" s="21">
        <f>MAX((F5+F6),0)</f>
        <v>916.51180072027273</v>
      </c>
      <c r="G8" s="21"/>
      <c r="H8" s="21"/>
      <c r="I8" s="21"/>
      <c r="J8" s="21">
        <f>MAX((J5+J6),0)</f>
        <v>31.873403734153033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0.20634198501578968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45.395419416881396</v>
      </c>
      <c r="C12" s="23">
        <f ca="1">C8*C10</f>
        <v>0</v>
      </c>
      <c r="D12" s="23">
        <f>D8*D10</f>
        <v>12.739249361930138</v>
      </c>
      <c r="E12" s="23">
        <f>E8*E10</f>
        <v>1.4678950425412567</v>
      </c>
      <c r="F12" s="23">
        <f>F8*F10</f>
        <v>244.70865079231282</v>
      </c>
      <c r="G12" s="23"/>
      <c r="H12" s="23"/>
      <c r="I12" s="23"/>
      <c r="J12" s="23">
        <f>J8*J10</f>
        <v>11.283184921890173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3.1218815882514035E-2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33.222144688240043</v>
      </c>
      <c r="C26" s="247">
        <f>B26*'GWP N2O_CH4'!B5</f>
        <v>697.66503845304089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31.577691410460819</v>
      </c>
      <c r="C27" s="247">
        <f>B27*'GWP N2O_CH4'!B5</f>
        <v>663.13151961967719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0.45080093978198521</v>
      </c>
      <c r="C28" s="247">
        <f>B28*'GWP N2O_CH4'!B4</f>
        <v>139.74829133241542</v>
      </c>
      <c r="D28" s="50"/>
    </row>
    <row r="29" spans="1:4">
      <c r="A29" s="41" t="s">
        <v>277</v>
      </c>
      <c r="B29" s="247">
        <f>B34*'ha_N2O bodem landbouw'!B4</f>
        <v>1.8861590876170806</v>
      </c>
      <c r="C29" s="247">
        <f>B29*'GWP N2O_CH4'!B4</f>
        <v>584.70931716129496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4.3041500380083613E-4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5.066002544569729E-6</v>
      </c>
      <c r="C5" s="463" t="s">
        <v>211</v>
      </c>
      <c r="D5" s="448">
        <f>SUM(D6:D11)</f>
        <v>1.519510001272868E-5</v>
      </c>
      <c r="E5" s="448">
        <f>SUM(E6:E11)</f>
        <v>2.0758689285937372E-5</v>
      </c>
      <c r="F5" s="461" t="s">
        <v>211</v>
      </c>
      <c r="G5" s="448">
        <f>SUM(G6:G11)</f>
        <v>7.3261328590976975E-3</v>
      </c>
      <c r="H5" s="448">
        <f>SUM(H6:H11)</f>
        <v>1.7288648125611118E-3</v>
      </c>
      <c r="I5" s="463" t="s">
        <v>211</v>
      </c>
      <c r="J5" s="463" t="s">
        <v>211</v>
      </c>
      <c r="K5" s="463" t="s">
        <v>211</v>
      </c>
      <c r="L5" s="463" t="s">
        <v>211</v>
      </c>
      <c r="M5" s="448">
        <f>SUM(M6:M11)</f>
        <v>4.7903303459565243E-4</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5.066002544569729E-6</v>
      </c>
      <c r="C6" s="449"/>
      <c r="D6" s="892">
        <f>vkm_2011_GW_PW*SUMIFS(TableVerdeelsleutelVkm[CNG],TableVerdeelsleutelVkm[Voertuigtype],"Lichte voertuigen")*SUMIFS(TableECFTransport[EnergieConsumptieFactor (PJ per km)],TableECFTransport[Index],CONCATENATE($A6,"_CNG_CNG"))</f>
        <v>1.519510001272868E-5</v>
      </c>
      <c r="E6" s="892">
        <f>vkm_2011_GW_PW*SUMIFS(TableVerdeelsleutelVkm[LPG],TableVerdeelsleutelVkm[Voertuigtype],"Lichte voertuigen")*SUMIFS(TableECFTransport[EnergieConsumptieFactor (PJ per km)],TableECFTransport[Index],CONCATENATE($A6,"_LPG_LPG"))</f>
        <v>2.0758689285937372E-5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5.3672454562362255E-3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1.728267783485514E-3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3.6456226368339334E-4</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1.9588874028614719E-3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5.9702907559789544E-7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1.1447077091225906E-4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49"/>
      <c r="D8" s="451">
        <f>vkm_2011_NGW_PW*SUMIFS(TableVerdeelsleutelVkm[CNG],TableVerdeelsleutelVkm[Voertuigtype],"Lichte voertuigen")*SUMIFS(TableECFTransport[EnergieConsumptieFactor (PJ per km)],TableECFTransport[Index],CONCATENATE($A8,"_CNG_CNG"))</f>
        <v>0</v>
      </c>
      <c r="E8" s="451">
        <f>vkm_2011_NGW_PW*SUMIFS(TableVerdeelsleutelVkm[LPG],TableVerdeelsleutelVkm[Voertuigtype],"Lichte voertuigen")*SUMIFS(TableECFTransport[EnergieConsumptieFactor (PJ per km)],TableECFTransport[Index],CONCATENATE($A8,"_LPG_LPG"))</f>
        <v>0</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1.407222929047147</v>
      </c>
      <c r="C14" s="21"/>
      <c r="D14" s="21">
        <f t="shared" ref="D14:M14" si="0">((D5)*10^9/3600)+D12</f>
        <v>4.2208611146468558</v>
      </c>
      <c r="E14" s="21">
        <f t="shared" si="0"/>
        <v>5.7663025794270482</v>
      </c>
      <c r="F14" s="21"/>
      <c r="G14" s="21">
        <f t="shared" si="0"/>
        <v>2035.036905304916</v>
      </c>
      <c r="H14" s="21">
        <f t="shared" si="0"/>
        <v>480.24022571141995</v>
      </c>
      <c r="I14" s="21"/>
      <c r="J14" s="21"/>
      <c r="K14" s="21"/>
      <c r="L14" s="21"/>
      <c r="M14" s="21">
        <f t="shared" si="0"/>
        <v>133.06473183212569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0.20634198501578968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0.29036917253932204</v>
      </c>
      <c r="C18" s="23"/>
      <c r="D18" s="23">
        <f t="shared" ref="D18:M18" si="1">D14*D16</f>
        <v>0.85261394515866495</v>
      </c>
      <c r="E18" s="23">
        <f t="shared" si="1"/>
        <v>1.30895068552994</v>
      </c>
      <c r="F18" s="23"/>
      <c r="G18" s="23">
        <f t="shared" si="1"/>
        <v>543.35485371641255</v>
      </c>
      <c r="H18" s="23">
        <f t="shared" si="1"/>
        <v>119.57981620214356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1.435500325152367E-4</v>
      </c>
      <c r="H50" s="321">
        <f t="shared" si="2"/>
        <v>0</v>
      </c>
      <c r="I50" s="321">
        <f t="shared" si="2"/>
        <v>0</v>
      </c>
      <c r="J50" s="321">
        <f t="shared" si="2"/>
        <v>0</v>
      </c>
      <c r="K50" s="321">
        <f t="shared" si="2"/>
        <v>0</v>
      </c>
      <c r="L50" s="321">
        <f t="shared" si="2"/>
        <v>0</v>
      </c>
      <c r="M50" s="321">
        <f t="shared" si="2"/>
        <v>8.1530081342819E-6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1.435500325152367E-4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8.1530081342819E-6</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39.875009032010198</v>
      </c>
      <c r="H54" s="21">
        <f t="shared" si="3"/>
        <v>0</v>
      </c>
      <c r="I54" s="21">
        <f t="shared" si="3"/>
        <v>0</v>
      </c>
      <c r="J54" s="21">
        <f t="shared" si="3"/>
        <v>0</v>
      </c>
      <c r="K54" s="21">
        <f t="shared" si="3"/>
        <v>0</v>
      </c>
      <c r="L54" s="21">
        <f t="shared" si="3"/>
        <v>0</v>
      </c>
      <c r="M54" s="21">
        <f t="shared" si="3"/>
        <v>2.2647244817449721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0.20634198501578968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10.646627411546723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693.58412849319348</v>
      </c>
      <c r="D10" s="1013">
        <f ca="1">tertiair!C16</f>
        <v>0</v>
      </c>
      <c r="E10" s="1013">
        <f ca="1">tertiair!D16</f>
        <v>937.22786352686285</v>
      </c>
      <c r="F10" s="1013">
        <f>tertiair!E16</f>
        <v>5.2746610328428778</v>
      </c>
      <c r="G10" s="1013">
        <f ca="1">tertiair!F16</f>
        <v>125.05362622677845</v>
      </c>
      <c r="H10" s="1013">
        <f>tertiair!G16</f>
        <v>0</v>
      </c>
      <c r="I10" s="1013">
        <f>tertiair!H16</f>
        <v>0</v>
      </c>
      <c r="J10" s="1013">
        <f>tertiair!I16</f>
        <v>0</v>
      </c>
      <c r="K10" s="1013">
        <f>tertiair!J16</f>
        <v>5.1414866426442206E-3</v>
      </c>
      <c r="L10" s="1013">
        <f>tertiair!K16</f>
        <v>0</v>
      </c>
      <c r="M10" s="1013">
        <f ca="1">tertiair!L16</f>
        <v>0</v>
      </c>
      <c r="N10" s="1013">
        <f>tertiair!M16</f>
        <v>0</v>
      </c>
      <c r="O10" s="1013">
        <f ca="1">tertiair!N16</f>
        <v>202.02472119328081</v>
      </c>
      <c r="P10" s="1013">
        <f>tertiair!O16</f>
        <v>0</v>
      </c>
      <c r="Q10" s="1014">
        <f>tertiair!P16</f>
        <v>0</v>
      </c>
      <c r="R10" s="700">
        <f ca="1">SUM(C10:Q10)</f>
        <v>1963.1701419596013</v>
      </c>
      <c r="S10" s="67"/>
    </row>
    <row r="11" spans="1:19" s="473" customFormat="1">
      <c r="A11" s="809" t="s">
        <v>225</v>
      </c>
      <c r="B11" s="814"/>
      <c r="C11" s="1013">
        <f>huishoudens!B8</f>
        <v>1661.0944423597884</v>
      </c>
      <c r="D11" s="1013">
        <f>huishoudens!C8</f>
        <v>0</v>
      </c>
      <c r="E11" s="1013">
        <f>huishoudens!D8</f>
        <v>5072.571524542911</v>
      </c>
      <c r="F11" s="1013">
        <f>huishoudens!E8</f>
        <v>235.87205910876165</v>
      </c>
      <c r="G11" s="1013">
        <f>huishoudens!F8</f>
        <v>0</v>
      </c>
      <c r="H11" s="1013">
        <f>huishoudens!G8</f>
        <v>0</v>
      </c>
      <c r="I11" s="1013">
        <f>huishoudens!H8</f>
        <v>0</v>
      </c>
      <c r="J11" s="1013">
        <f>huishoudens!I8</f>
        <v>0</v>
      </c>
      <c r="K11" s="1013">
        <f>huishoudens!J8</f>
        <v>398.44169473322847</v>
      </c>
      <c r="L11" s="1013">
        <f>huishoudens!K8</f>
        <v>0</v>
      </c>
      <c r="M11" s="1013">
        <f>huishoudens!L8</f>
        <v>0</v>
      </c>
      <c r="N11" s="1013">
        <f>huishoudens!M8</f>
        <v>0</v>
      </c>
      <c r="O11" s="1013">
        <f>huishoudens!N8</f>
        <v>643.07133819704495</v>
      </c>
      <c r="P11" s="1013">
        <f>huishoudens!O8</f>
        <v>4.6900000000000004</v>
      </c>
      <c r="Q11" s="1014">
        <f>huishoudens!P8</f>
        <v>19.066666666666666</v>
      </c>
      <c r="R11" s="700">
        <f>SUM(C11:Q11)</f>
        <v>8034.8077256083998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38.749798469761203</v>
      </c>
      <c r="D13" s="1013">
        <f>industrie!C18</f>
        <v>0</v>
      </c>
      <c r="E13" s="1013">
        <f>industrie!D18</f>
        <v>97.347124278555484</v>
      </c>
      <c r="F13" s="1013">
        <f>industrie!E18</f>
        <v>7.7604089602240842</v>
      </c>
      <c r="G13" s="1013">
        <f>industrie!F18</f>
        <v>22.029358409678782</v>
      </c>
      <c r="H13" s="1013">
        <f>industrie!G18</f>
        <v>0</v>
      </c>
      <c r="I13" s="1013">
        <f>industrie!H18</f>
        <v>0</v>
      </c>
      <c r="J13" s="1013">
        <f>industrie!I18</f>
        <v>0</v>
      </c>
      <c r="K13" s="1013">
        <f>industrie!J18</f>
        <v>5.3856117376792981E-2</v>
      </c>
      <c r="L13" s="1013">
        <f>industrie!K18</f>
        <v>0</v>
      </c>
      <c r="M13" s="1013">
        <f>industrie!L18</f>
        <v>0</v>
      </c>
      <c r="N13" s="1013">
        <f>industrie!M18</f>
        <v>0</v>
      </c>
      <c r="O13" s="1013">
        <f>industrie!N18</f>
        <v>11.207401896047596</v>
      </c>
      <c r="P13" s="1013">
        <f>industrie!O18</f>
        <v>0</v>
      </c>
      <c r="Q13" s="1014">
        <f>industrie!P18</f>
        <v>0</v>
      </c>
      <c r="R13" s="700">
        <f>SUM(C13:Q13)</f>
        <v>177.14794813164394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2393.428369322743</v>
      </c>
      <c r="D16" s="732">
        <f t="shared" ref="D16:R16" ca="1" si="0">SUM(D9:D15)</f>
        <v>0</v>
      </c>
      <c r="E16" s="732">
        <f t="shared" ca="1" si="0"/>
        <v>6107.1465123483295</v>
      </c>
      <c r="F16" s="732">
        <f t="shared" si="0"/>
        <v>248.90712910182862</v>
      </c>
      <c r="G16" s="732">
        <f t="shared" ca="1" si="0"/>
        <v>147.08298463645724</v>
      </c>
      <c r="H16" s="732">
        <f t="shared" si="0"/>
        <v>0</v>
      </c>
      <c r="I16" s="732">
        <f t="shared" si="0"/>
        <v>0</v>
      </c>
      <c r="J16" s="732">
        <f t="shared" si="0"/>
        <v>0</v>
      </c>
      <c r="K16" s="732">
        <f t="shared" si="0"/>
        <v>398.50069233724787</v>
      </c>
      <c r="L16" s="732">
        <f t="shared" si="0"/>
        <v>0</v>
      </c>
      <c r="M16" s="732">
        <f t="shared" ca="1" si="0"/>
        <v>0</v>
      </c>
      <c r="N16" s="732">
        <f t="shared" si="0"/>
        <v>0</v>
      </c>
      <c r="O16" s="732">
        <f t="shared" ca="1" si="0"/>
        <v>856.30346128637336</v>
      </c>
      <c r="P16" s="732">
        <f t="shared" si="0"/>
        <v>4.6900000000000004</v>
      </c>
      <c r="Q16" s="732">
        <f t="shared" si="0"/>
        <v>19.066666666666666</v>
      </c>
      <c r="R16" s="732">
        <f t="shared" ca="1" si="0"/>
        <v>10175.125815699645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39.875009032010198</v>
      </c>
      <c r="I19" s="1013">
        <f>transport!H54</f>
        <v>0</v>
      </c>
      <c r="J19" s="1013">
        <f>transport!I54</f>
        <v>0</v>
      </c>
      <c r="K19" s="1013">
        <f>transport!J54</f>
        <v>0</v>
      </c>
      <c r="L19" s="1013">
        <f>transport!K54</f>
        <v>0</v>
      </c>
      <c r="M19" s="1013">
        <f>transport!L54</f>
        <v>0</v>
      </c>
      <c r="N19" s="1013">
        <f>transport!M54</f>
        <v>2.2647244817449721</v>
      </c>
      <c r="O19" s="1013">
        <f>transport!N54</f>
        <v>0</v>
      </c>
      <c r="P19" s="1013">
        <f>transport!O54</f>
        <v>0</v>
      </c>
      <c r="Q19" s="1014">
        <f>transport!P54</f>
        <v>0</v>
      </c>
      <c r="R19" s="700">
        <f>SUM(C19:Q19)</f>
        <v>42.139733513755168</v>
      </c>
      <c r="S19" s="67"/>
    </row>
    <row r="20" spans="1:19" s="473" customFormat="1">
      <c r="A20" s="809" t="s">
        <v>307</v>
      </c>
      <c r="B20" s="814"/>
      <c r="C20" s="1013">
        <f>transport!B14</f>
        <v>1.407222929047147</v>
      </c>
      <c r="D20" s="1013">
        <f>transport!C14</f>
        <v>0</v>
      </c>
      <c r="E20" s="1013">
        <f>transport!D14</f>
        <v>4.2208611146468558</v>
      </c>
      <c r="F20" s="1013">
        <f>transport!E14</f>
        <v>5.7663025794270482</v>
      </c>
      <c r="G20" s="1013">
        <f>transport!F14</f>
        <v>0</v>
      </c>
      <c r="H20" s="1013">
        <f>transport!G14</f>
        <v>2035.036905304916</v>
      </c>
      <c r="I20" s="1013">
        <f>transport!H14</f>
        <v>480.24022571141995</v>
      </c>
      <c r="J20" s="1013">
        <f>transport!I14</f>
        <v>0</v>
      </c>
      <c r="K20" s="1013">
        <f>transport!J14</f>
        <v>0</v>
      </c>
      <c r="L20" s="1013">
        <f>transport!K14</f>
        <v>0</v>
      </c>
      <c r="M20" s="1013">
        <f>transport!L14</f>
        <v>0</v>
      </c>
      <c r="N20" s="1013">
        <f>transport!M14</f>
        <v>133.06473183212569</v>
      </c>
      <c r="O20" s="1013">
        <f>transport!N14</f>
        <v>0</v>
      </c>
      <c r="P20" s="1013">
        <f>transport!O14</f>
        <v>0</v>
      </c>
      <c r="Q20" s="1014">
        <f>transport!P14</f>
        <v>0</v>
      </c>
      <c r="R20" s="700">
        <f>SUM(C20:Q20)</f>
        <v>2659.7362494715831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1.407222929047147</v>
      </c>
      <c r="D22" s="812">
        <f t="shared" ref="D22:R22" si="1">SUM(D18:D21)</f>
        <v>0</v>
      </c>
      <c r="E22" s="812">
        <f t="shared" si="1"/>
        <v>4.2208611146468558</v>
      </c>
      <c r="F22" s="812">
        <f t="shared" si="1"/>
        <v>5.7663025794270482</v>
      </c>
      <c r="G22" s="812">
        <f t="shared" si="1"/>
        <v>0</v>
      </c>
      <c r="H22" s="812">
        <f t="shared" si="1"/>
        <v>2074.9119143369262</v>
      </c>
      <c r="I22" s="812">
        <f t="shared" si="1"/>
        <v>480.24022571141995</v>
      </c>
      <c r="J22" s="812">
        <f t="shared" si="1"/>
        <v>0</v>
      </c>
      <c r="K22" s="812">
        <f t="shared" si="1"/>
        <v>0</v>
      </c>
      <c r="L22" s="812">
        <f t="shared" si="1"/>
        <v>0</v>
      </c>
      <c r="M22" s="812">
        <f t="shared" si="1"/>
        <v>0</v>
      </c>
      <c r="N22" s="812">
        <f t="shared" si="1"/>
        <v>135.32945631387065</v>
      </c>
      <c r="O22" s="812">
        <f t="shared" si="1"/>
        <v>0</v>
      </c>
      <c r="P22" s="812">
        <f t="shared" si="1"/>
        <v>0</v>
      </c>
      <c r="Q22" s="812">
        <f t="shared" si="1"/>
        <v>0</v>
      </c>
      <c r="R22" s="812">
        <f t="shared" si="1"/>
        <v>2701.8759829853384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220.00088548827159</v>
      </c>
      <c r="D24" s="1013">
        <f>+landbouw!C8</f>
        <v>0</v>
      </c>
      <c r="E24" s="1013">
        <f>+landbouw!D8</f>
        <v>63.065590900644246</v>
      </c>
      <c r="F24" s="1013">
        <f>+landbouw!E8</f>
        <v>6.4664979847632447</v>
      </c>
      <c r="G24" s="1013">
        <f>+landbouw!F8</f>
        <v>916.51180072027273</v>
      </c>
      <c r="H24" s="1013">
        <f>+landbouw!G8</f>
        <v>0</v>
      </c>
      <c r="I24" s="1013">
        <f>+landbouw!H8</f>
        <v>0</v>
      </c>
      <c r="J24" s="1013">
        <f>+landbouw!I8</f>
        <v>0</v>
      </c>
      <c r="K24" s="1013">
        <f>+landbouw!J8</f>
        <v>31.873403734153033</v>
      </c>
      <c r="L24" s="1013">
        <f>+landbouw!K8</f>
        <v>0</v>
      </c>
      <c r="M24" s="1013">
        <f>+landbouw!L8</f>
        <v>0</v>
      </c>
      <c r="N24" s="1013">
        <f>+landbouw!M8</f>
        <v>0</v>
      </c>
      <c r="O24" s="1013">
        <f>+landbouw!N8</f>
        <v>0</v>
      </c>
      <c r="P24" s="1013">
        <f>+landbouw!O8</f>
        <v>0</v>
      </c>
      <c r="Q24" s="1014">
        <f>+landbouw!P8</f>
        <v>0</v>
      </c>
      <c r="R24" s="700">
        <f>SUM(C24:Q24)</f>
        <v>1237.9181788281048</v>
      </c>
      <c r="S24" s="67"/>
    </row>
    <row r="25" spans="1:19" s="473" customFormat="1" ht="15" thickBot="1">
      <c r="A25" s="831" t="s">
        <v>836</v>
      </c>
      <c r="B25" s="1016"/>
      <c r="C25" s="1017">
        <f>IF(Onbekend_ele_kWh="---",0,Onbekend_ele_kWh)/1000+IF(REST_rest_ele_kWh="---",0,REST_rest_ele_kWh)/1000</f>
        <v>53.378311451864604</v>
      </c>
      <c r="D25" s="1017"/>
      <c r="E25" s="1017">
        <f>IF(onbekend_gas_kWh="---",0,onbekend_gas_kWh)/1000+IF(REST_rest_gas_kWh="---",0,REST_rest_gas_kWh)/1000</f>
        <v>171.013928894332</v>
      </c>
      <c r="F25" s="1017"/>
      <c r="G25" s="1017"/>
      <c r="H25" s="1017"/>
      <c r="I25" s="1017"/>
      <c r="J25" s="1017"/>
      <c r="K25" s="1017"/>
      <c r="L25" s="1017"/>
      <c r="M25" s="1017"/>
      <c r="N25" s="1017"/>
      <c r="O25" s="1017"/>
      <c r="P25" s="1017"/>
      <c r="Q25" s="1018"/>
      <c r="R25" s="700">
        <f>SUM(C25:Q25)</f>
        <v>224.39224034619662</v>
      </c>
      <c r="S25" s="67"/>
    </row>
    <row r="26" spans="1:19" s="473" customFormat="1" ht="15.75" thickBot="1">
      <c r="A26" s="705" t="s">
        <v>837</v>
      </c>
      <c r="B26" s="817"/>
      <c r="C26" s="812">
        <f>SUM(C24:C25)</f>
        <v>273.37919694013618</v>
      </c>
      <c r="D26" s="812">
        <f t="shared" ref="D26:R26" si="2">SUM(D24:D25)</f>
        <v>0</v>
      </c>
      <c r="E26" s="812">
        <f t="shared" si="2"/>
        <v>234.07951979497625</v>
      </c>
      <c r="F26" s="812">
        <f t="shared" si="2"/>
        <v>6.4664979847632447</v>
      </c>
      <c r="G26" s="812">
        <f t="shared" si="2"/>
        <v>916.51180072027273</v>
      </c>
      <c r="H26" s="812">
        <f t="shared" si="2"/>
        <v>0</v>
      </c>
      <c r="I26" s="812">
        <f t="shared" si="2"/>
        <v>0</v>
      </c>
      <c r="J26" s="812">
        <f t="shared" si="2"/>
        <v>0</v>
      </c>
      <c r="K26" s="812">
        <f t="shared" si="2"/>
        <v>31.873403734153033</v>
      </c>
      <c r="L26" s="812">
        <f t="shared" si="2"/>
        <v>0</v>
      </c>
      <c r="M26" s="812">
        <f t="shared" si="2"/>
        <v>0</v>
      </c>
      <c r="N26" s="812">
        <f t="shared" si="2"/>
        <v>0</v>
      </c>
      <c r="O26" s="812">
        <f t="shared" si="2"/>
        <v>0</v>
      </c>
      <c r="P26" s="812">
        <f t="shared" si="2"/>
        <v>0</v>
      </c>
      <c r="Q26" s="812">
        <f t="shared" si="2"/>
        <v>0</v>
      </c>
      <c r="R26" s="812">
        <f t="shared" si="2"/>
        <v>1462.3104191743014</v>
      </c>
      <c r="S26" s="67"/>
    </row>
    <row r="27" spans="1:19" s="473" customFormat="1" ht="17.25" thickTop="1" thickBot="1">
      <c r="A27" s="706" t="s">
        <v>116</v>
      </c>
      <c r="B27" s="805"/>
      <c r="C27" s="707">
        <f ca="1">C22+C16+C26</f>
        <v>2668.2147891919267</v>
      </c>
      <c r="D27" s="707">
        <f t="shared" ref="D27:R27" ca="1" si="3">D22+D16+D26</f>
        <v>0</v>
      </c>
      <c r="E27" s="707">
        <f t="shared" ca="1" si="3"/>
        <v>6345.446893257953</v>
      </c>
      <c r="F27" s="707">
        <f t="shared" si="3"/>
        <v>261.13992966601893</v>
      </c>
      <c r="G27" s="707">
        <f t="shared" ca="1" si="3"/>
        <v>1063.59478535673</v>
      </c>
      <c r="H27" s="707">
        <f t="shared" si="3"/>
        <v>2074.9119143369262</v>
      </c>
      <c r="I27" s="707">
        <f t="shared" si="3"/>
        <v>480.24022571141995</v>
      </c>
      <c r="J27" s="707">
        <f t="shared" si="3"/>
        <v>0</v>
      </c>
      <c r="K27" s="707">
        <f t="shared" si="3"/>
        <v>430.37409607140091</v>
      </c>
      <c r="L27" s="707">
        <f t="shared" si="3"/>
        <v>0</v>
      </c>
      <c r="M27" s="707">
        <f t="shared" ca="1" si="3"/>
        <v>0</v>
      </c>
      <c r="N27" s="707">
        <f t="shared" si="3"/>
        <v>135.32945631387065</v>
      </c>
      <c r="O27" s="707">
        <f t="shared" ca="1" si="3"/>
        <v>856.30346128637336</v>
      </c>
      <c r="P27" s="707">
        <f t="shared" si="3"/>
        <v>4.6900000000000004</v>
      </c>
      <c r="Q27" s="707">
        <f t="shared" si="3"/>
        <v>19.066666666666666</v>
      </c>
      <c r="R27" s="707">
        <f t="shared" ca="1" si="3"/>
        <v>14339.312217859286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143.11552584873206</v>
      </c>
      <c r="D40" s="1013">
        <f ca="1">tertiair!C20</f>
        <v>0</v>
      </c>
      <c r="E40" s="1013">
        <f ca="1">tertiair!D20</f>
        <v>189.32002843242631</v>
      </c>
      <c r="F40" s="1013">
        <f>tertiair!E20</f>
        <v>1.1973480544553332</v>
      </c>
      <c r="G40" s="1013">
        <f ca="1">tertiair!F20</f>
        <v>33.389318202549845</v>
      </c>
      <c r="H40" s="1013">
        <f>tertiair!G20</f>
        <v>0</v>
      </c>
      <c r="I40" s="1013">
        <f>tertiair!H20</f>
        <v>0</v>
      </c>
      <c r="J40" s="1013">
        <f>tertiair!I20</f>
        <v>0</v>
      </c>
      <c r="K40" s="1013">
        <f>tertiair!J20</f>
        <v>1.820086271496054E-3</v>
      </c>
      <c r="L40" s="1013">
        <f>tertiair!K20</f>
        <v>0</v>
      </c>
      <c r="M40" s="1013">
        <f ca="1">tertiair!L20</f>
        <v>0</v>
      </c>
      <c r="N40" s="1013">
        <f>tertiair!M20</f>
        <v>0</v>
      </c>
      <c r="O40" s="1013">
        <f ca="1">tertiair!N20</f>
        <v>0</v>
      </c>
      <c r="P40" s="1013">
        <f>tertiair!O20</f>
        <v>0</v>
      </c>
      <c r="Q40" s="774">
        <f>tertiair!P20</f>
        <v>0</v>
      </c>
      <c r="R40" s="850">
        <f t="shared" ca="1" si="4"/>
        <v>367.02404062443503</v>
      </c>
    </row>
    <row r="41" spans="1:18">
      <c r="A41" s="822" t="s">
        <v>225</v>
      </c>
      <c r="B41" s="829"/>
      <c r="C41" s="1013">
        <f ca="1">huishoudens!B12</f>
        <v>342.75352453521498</v>
      </c>
      <c r="D41" s="1013">
        <f ca="1">huishoudens!C12</f>
        <v>0</v>
      </c>
      <c r="E41" s="1013">
        <f>huishoudens!D12</f>
        <v>1024.6594479576681</v>
      </c>
      <c r="F41" s="1013">
        <f>huishoudens!E12</f>
        <v>53.542957417688896</v>
      </c>
      <c r="G41" s="1013">
        <f>huishoudens!F12</f>
        <v>0</v>
      </c>
      <c r="H41" s="1013">
        <f>huishoudens!G12</f>
        <v>0</v>
      </c>
      <c r="I41" s="1013">
        <f>huishoudens!H12</f>
        <v>0</v>
      </c>
      <c r="J41" s="1013">
        <f>huishoudens!I12</f>
        <v>0</v>
      </c>
      <c r="K41" s="1013">
        <f>huishoudens!J12</f>
        <v>141.04835993556287</v>
      </c>
      <c r="L41" s="1013">
        <f>huishoudens!K12</f>
        <v>0</v>
      </c>
      <c r="M41" s="1013">
        <f>huishoudens!L12</f>
        <v>0</v>
      </c>
      <c r="N41" s="1013">
        <f>huishoudens!M12</f>
        <v>0</v>
      </c>
      <c r="O41" s="1013">
        <f>huishoudens!N12</f>
        <v>0</v>
      </c>
      <c r="P41" s="1013">
        <f>huishoudens!O12</f>
        <v>0</v>
      </c>
      <c r="Q41" s="774">
        <f>huishoudens!P12</f>
        <v>0</v>
      </c>
      <c r="R41" s="850">
        <f t="shared" ca="1" si="4"/>
        <v>1562.0042898461347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7.995710335212336</v>
      </c>
      <c r="D43" s="1013">
        <f ca="1">industrie!C22</f>
        <v>0</v>
      </c>
      <c r="E43" s="1013">
        <f>industrie!D22</f>
        <v>19.66411910426821</v>
      </c>
      <c r="F43" s="1013">
        <f>industrie!E22</f>
        <v>1.7616128339708672</v>
      </c>
      <c r="G43" s="1013">
        <f>industrie!F22</f>
        <v>5.8818386953842348</v>
      </c>
      <c r="H43" s="1013">
        <f>industrie!G22</f>
        <v>0</v>
      </c>
      <c r="I43" s="1013">
        <f>industrie!H22</f>
        <v>0</v>
      </c>
      <c r="J43" s="1013">
        <f>industrie!I22</f>
        <v>0</v>
      </c>
      <c r="K43" s="1013">
        <f>industrie!J22</f>
        <v>1.9065065551384715E-2</v>
      </c>
      <c r="L43" s="1013">
        <f>industrie!K22</f>
        <v>0</v>
      </c>
      <c r="M43" s="1013">
        <f>industrie!L22</f>
        <v>0</v>
      </c>
      <c r="N43" s="1013">
        <f>industrie!M22</f>
        <v>0</v>
      </c>
      <c r="O43" s="1013">
        <f>industrie!N22</f>
        <v>0</v>
      </c>
      <c r="P43" s="1013">
        <f>industrie!O22</f>
        <v>0</v>
      </c>
      <c r="Q43" s="774">
        <f>industrie!P22</f>
        <v>0</v>
      </c>
      <c r="R43" s="849">
        <f t="shared" ca="1" si="4"/>
        <v>35.322346034387039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493.86476071915939</v>
      </c>
      <c r="D46" s="732">
        <f t="shared" ref="D46:Q46" ca="1" si="5">SUM(D39:D45)</f>
        <v>0</v>
      </c>
      <c r="E46" s="732">
        <f t="shared" ca="1" si="5"/>
        <v>1233.6435954943627</v>
      </c>
      <c r="F46" s="732">
        <f t="shared" si="5"/>
        <v>56.501918306115094</v>
      </c>
      <c r="G46" s="732">
        <f t="shared" ca="1" si="5"/>
        <v>39.271156897934077</v>
      </c>
      <c r="H46" s="732">
        <f t="shared" si="5"/>
        <v>0</v>
      </c>
      <c r="I46" s="732">
        <f t="shared" si="5"/>
        <v>0</v>
      </c>
      <c r="J46" s="732">
        <f t="shared" si="5"/>
        <v>0</v>
      </c>
      <c r="K46" s="732">
        <f t="shared" si="5"/>
        <v>141.06924508738575</v>
      </c>
      <c r="L46" s="732">
        <f t="shared" si="5"/>
        <v>0</v>
      </c>
      <c r="M46" s="732">
        <f t="shared" ca="1" si="5"/>
        <v>0</v>
      </c>
      <c r="N46" s="732">
        <f t="shared" si="5"/>
        <v>0</v>
      </c>
      <c r="O46" s="732">
        <f t="shared" ca="1" si="5"/>
        <v>0</v>
      </c>
      <c r="P46" s="732">
        <f t="shared" si="5"/>
        <v>0</v>
      </c>
      <c r="Q46" s="732">
        <f t="shared" si="5"/>
        <v>0</v>
      </c>
      <c r="R46" s="732">
        <f ca="1">SUM(R39:R45)</f>
        <v>1964.3506765049567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10.646627411546723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10.646627411546723</v>
      </c>
    </row>
    <row r="50" spans="1:18">
      <c r="A50" s="825" t="s">
        <v>307</v>
      </c>
      <c r="B50" s="835"/>
      <c r="C50" s="703">
        <f ca="1">transport!B18</f>
        <v>0.29036917253932204</v>
      </c>
      <c r="D50" s="703">
        <f>transport!C18</f>
        <v>0</v>
      </c>
      <c r="E50" s="703">
        <f>transport!D18</f>
        <v>0.85261394515866495</v>
      </c>
      <c r="F50" s="703">
        <f>transport!E18</f>
        <v>1.30895068552994</v>
      </c>
      <c r="G50" s="703">
        <f>transport!F18</f>
        <v>0</v>
      </c>
      <c r="H50" s="703">
        <f>transport!G18</f>
        <v>543.35485371641255</v>
      </c>
      <c r="I50" s="703">
        <f>transport!H18</f>
        <v>119.57981620214356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665.38660372178401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0.29036917253932204</v>
      </c>
      <c r="D52" s="732">
        <f t="shared" ref="D52:Q52" ca="1" si="6">SUM(D48:D51)</f>
        <v>0</v>
      </c>
      <c r="E52" s="732">
        <f t="shared" si="6"/>
        <v>0.85261394515866495</v>
      </c>
      <c r="F52" s="732">
        <f t="shared" si="6"/>
        <v>1.30895068552994</v>
      </c>
      <c r="G52" s="732">
        <f t="shared" si="6"/>
        <v>0</v>
      </c>
      <c r="H52" s="732">
        <f t="shared" si="6"/>
        <v>554.00148112795932</v>
      </c>
      <c r="I52" s="732">
        <f t="shared" si="6"/>
        <v>119.57981620214356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676.03323113333079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45.395419416881396</v>
      </c>
      <c r="D54" s="703">
        <f ca="1">+landbouw!C12</f>
        <v>0</v>
      </c>
      <c r="E54" s="703">
        <f>+landbouw!D12</f>
        <v>12.739249361930138</v>
      </c>
      <c r="F54" s="703">
        <f>+landbouw!E12</f>
        <v>1.4678950425412567</v>
      </c>
      <c r="G54" s="703">
        <f>+landbouw!F12</f>
        <v>244.70865079231282</v>
      </c>
      <c r="H54" s="703">
        <f>+landbouw!G12</f>
        <v>0</v>
      </c>
      <c r="I54" s="703">
        <f>+landbouw!H12</f>
        <v>0</v>
      </c>
      <c r="J54" s="703">
        <f>+landbouw!I12</f>
        <v>0</v>
      </c>
      <c r="K54" s="703">
        <f>+landbouw!J12</f>
        <v>11.283184921890173</v>
      </c>
      <c r="L54" s="703">
        <f>+landbouw!K12</f>
        <v>0</v>
      </c>
      <c r="M54" s="703">
        <f>+landbouw!L12</f>
        <v>0</v>
      </c>
      <c r="N54" s="703">
        <f>+landbouw!M12</f>
        <v>0</v>
      </c>
      <c r="O54" s="703">
        <f>+landbouw!N12</f>
        <v>0</v>
      </c>
      <c r="P54" s="703">
        <f>+landbouw!O12</f>
        <v>0</v>
      </c>
      <c r="Q54" s="704">
        <f>+landbouw!P12</f>
        <v>0</v>
      </c>
      <c r="R54" s="731">
        <f ca="1">SUM(C54:Q54)</f>
        <v>315.59439953555574</v>
      </c>
    </row>
    <row r="55" spans="1:18" ht="15" thickBot="1">
      <c r="A55" s="825" t="s">
        <v>836</v>
      </c>
      <c r="B55" s="835"/>
      <c r="C55" s="703">
        <f ca="1">C25*'EF ele_warmte'!B12</f>
        <v>11.014186741768802</v>
      </c>
      <c r="D55" s="703"/>
      <c r="E55" s="703">
        <f>E25*EF_CO2_aardgas</f>
        <v>34.544813636655064</v>
      </c>
      <c r="F55" s="703"/>
      <c r="G55" s="703"/>
      <c r="H55" s="703"/>
      <c r="I55" s="703"/>
      <c r="J55" s="703"/>
      <c r="K55" s="703"/>
      <c r="L55" s="703"/>
      <c r="M55" s="703"/>
      <c r="N55" s="703"/>
      <c r="O55" s="703"/>
      <c r="P55" s="703"/>
      <c r="Q55" s="704"/>
      <c r="R55" s="731">
        <f ca="1">SUM(C55:Q55)</f>
        <v>45.559000378423868</v>
      </c>
    </row>
    <row r="56" spans="1:18" ht="15.75" thickBot="1">
      <c r="A56" s="823" t="s">
        <v>837</v>
      </c>
      <c r="B56" s="836"/>
      <c r="C56" s="732">
        <f ca="1">SUM(C54:C55)</f>
        <v>56.409606158650199</v>
      </c>
      <c r="D56" s="732">
        <f t="shared" ref="D56:Q56" ca="1" si="7">SUM(D54:D55)</f>
        <v>0</v>
      </c>
      <c r="E56" s="732">
        <f t="shared" si="7"/>
        <v>47.284062998585199</v>
      </c>
      <c r="F56" s="732">
        <f t="shared" si="7"/>
        <v>1.4678950425412567</v>
      </c>
      <c r="G56" s="732">
        <f t="shared" si="7"/>
        <v>244.70865079231282</v>
      </c>
      <c r="H56" s="732">
        <f t="shared" si="7"/>
        <v>0</v>
      </c>
      <c r="I56" s="732">
        <f t="shared" si="7"/>
        <v>0</v>
      </c>
      <c r="J56" s="732">
        <f t="shared" si="7"/>
        <v>0</v>
      </c>
      <c r="K56" s="732">
        <f t="shared" si="7"/>
        <v>11.283184921890173</v>
      </c>
      <c r="L56" s="732">
        <f t="shared" si="7"/>
        <v>0</v>
      </c>
      <c r="M56" s="732">
        <f t="shared" si="7"/>
        <v>0</v>
      </c>
      <c r="N56" s="732">
        <f t="shared" si="7"/>
        <v>0</v>
      </c>
      <c r="O56" s="732">
        <f t="shared" si="7"/>
        <v>0</v>
      </c>
      <c r="P56" s="732">
        <f t="shared" si="7"/>
        <v>0</v>
      </c>
      <c r="Q56" s="733">
        <f t="shared" si="7"/>
        <v>0</v>
      </c>
      <c r="R56" s="734">
        <f ca="1">SUM(R54:R55)</f>
        <v>361.15339991397963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550.56473605034887</v>
      </c>
      <c r="D61" s="740">
        <f t="shared" ref="D61:Q61" ca="1" si="8">D46+D52+D56</f>
        <v>0</v>
      </c>
      <c r="E61" s="740">
        <f t="shared" ca="1" si="8"/>
        <v>1281.7802724381065</v>
      </c>
      <c r="F61" s="740">
        <f t="shared" si="8"/>
        <v>59.278764034186295</v>
      </c>
      <c r="G61" s="740">
        <f t="shared" ca="1" si="8"/>
        <v>283.9798076902469</v>
      </c>
      <c r="H61" s="740">
        <f t="shared" si="8"/>
        <v>554.00148112795932</v>
      </c>
      <c r="I61" s="740">
        <f t="shared" si="8"/>
        <v>119.57981620214356</v>
      </c>
      <c r="J61" s="740">
        <f t="shared" si="8"/>
        <v>0</v>
      </c>
      <c r="K61" s="740">
        <f t="shared" si="8"/>
        <v>152.35243000927593</v>
      </c>
      <c r="L61" s="740">
        <f t="shared" si="8"/>
        <v>0</v>
      </c>
      <c r="M61" s="740">
        <f t="shared" ca="1" si="8"/>
        <v>0</v>
      </c>
      <c r="N61" s="740">
        <f t="shared" si="8"/>
        <v>0</v>
      </c>
      <c r="O61" s="740">
        <f t="shared" ca="1" si="8"/>
        <v>0</v>
      </c>
      <c r="P61" s="740">
        <f t="shared" si="8"/>
        <v>0</v>
      </c>
      <c r="Q61" s="740">
        <f t="shared" si="8"/>
        <v>0</v>
      </c>
      <c r="R61" s="740">
        <f ca="1">R46+R52+R56</f>
        <v>3001.5373075522671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0.20634198501578965</v>
      </c>
      <c r="D63" s="781">
        <f t="shared" ca="1" si="9"/>
        <v>0</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176.97163964283632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176.97163964283632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176.97163964283632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176.97163964283632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1661.0944423597884</v>
      </c>
      <c r="C4" s="477">
        <f>huishoudens!C8</f>
        <v>0</v>
      </c>
      <c r="D4" s="477">
        <f>huishoudens!D8</f>
        <v>5072.571524542911</v>
      </c>
      <c r="E4" s="477">
        <f>huishoudens!E8</f>
        <v>235.87205910876165</v>
      </c>
      <c r="F4" s="477">
        <f>huishoudens!F8</f>
        <v>0</v>
      </c>
      <c r="G4" s="477">
        <f>huishoudens!G8</f>
        <v>0</v>
      </c>
      <c r="H4" s="477">
        <f>huishoudens!H8</f>
        <v>0</v>
      </c>
      <c r="I4" s="477">
        <f>huishoudens!I8</f>
        <v>0</v>
      </c>
      <c r="J4" s="477">
        <f>huishoudens!J8</f>
        <v>398.44169473322847</v>
      </c>
      <c r="K4" s="477">
        <f>huishoudens!K8</f>
        <v>0</v>
      </c>
      <c r="L4" s="477">
        <f>huishoudens!L8</f>
        <v>0</v>
      </c>
      <c r="M4" s="477">
        <f>huishoudens!M8</f>
        <v>0</v>
      </c>
      <c r="N4" s="477">
        <f>huishoudens!N8</f>
        <v>643.07133819704495</v>
      </c>
      <c r="O4" s="477">
        <f>huishoudens!O8</f>
        <v>4.6900000000000004</v>
      </c>
      <c r="P4" s="478">
        <f>huishoudens!P8</f>
        <v>19.066666666666666</v>
      </c>
      <c r="Q4" s="479">
        <f>SUM(B4:P4)</f>
        <v>8034.8077256083998</v>
      </c>
    </row>
    <row r="5" spans="1:17">
      <c r="A5" s="476" t="s">
        <v>156</v>
      </c>
      <c r="B5" s="477">
        <f ca="1">tertiair!B16</f>
        <v>628.97112849319342</v>
      </c>
      <c r="C5" s="477">
        <f ca="1">tertiair!C16</f>
        <v>0</v>
      </c>
      <c r="D5" s="477">
        <f ca="1">tertiair!D16</f>
        <v>937.22786352686285</v>
      </c>
      <c r="E5" s="477">
        <f>tertiair!E16</f>
        <v>5.2746610328428778</v>
      </c>
      <c r="F5" s="477">
        <f ca="1">tertiair!F16</f>
        <v>125.05362622677845</v>
      </c>
      <c r="G5" s="477">
        <f>tertiair!G16</f>
        <v>0</v>
      </c>
      <c r="H5" s="477">
        <f>tertiair!H16</f>
        <v>0</v>
      </c>
      <c r="I5" s="477">
        <f>tertiair!I16</f>
        <v>0</v>
      </c>
      <c r="J5" s="477">
        <f>tertiair!J16</f>
        <v>5.1414866426442206E-3</v>
      </c>
      <c r="K5" s="477">
        <f>tertiair!K16</f>
        <v>0</v>
      </c>
      <c r="L5" s="477">
        <f ca="1">tertiair!L16</f>
        <v>0</v>
      </c>
      <c r="M5" s="477">
        <f>tertiair!M16</f>
        <v>0</v>
      </c>
      <c r="N5" s="477">
        <f ca="1">tertiair!N16</f>
        <v>202.02472119328081</v>
      </c>
      <c r="O5" s="477">
        <f>tertiair!O16</f>
        <v>0</v>
      </c>
      <c r="P5" s="478">
        <f>tertiair!P16</f>
        <v>0</v>
      </c>
      <c r="Q5" s="476">
        <f t="shared" ref="Q5:Q14" ca="1" si="0">SUM(B5:P5)</f>
        <v>1898.5571419596013</v>
      </c>
    </row>
    <row r="6" spans="1:17">
      <c r="A6" s="476" t="s">
        <v>194</v>
      </c>
      <c r="B6" s="477">
        <f>'openbare verlichting'!B8</f>
        <v>64.613</v>
      </c>
      <c r="C6" s="477"/>
      <c r="D6" s="477"/>
      <c r="E6" s="477"/>
      <c r="F6" s="477"/>
      <c r="G6" s="477"/>
      <c r="H6" s="477"/>
      <c r="I6" s="477"/>
      <c r="J6" s="477"/>
      <c r="K6" s="477"/>
      <c r="L6" s="477"/>
      <c r="M6" s="477"/>
      <c r="N6" s="477"/>
      <c r="O6" s="477"/>
      <c r="P6" s="478"/>
      <c r="Q6" s="476">
        <f t="shared" si="0"/>
        <v>64.613</v>
      </c>
    </row>
    <row r="7" spans="1:17">
      <c r="A7" s="476" t="s">
        <v>112</v>
      </c>
      <c r="B7" s="477">
        <f>landbouw!B8</f>
        <v>220.00088548827159</v>
      </c>
      <c r="C7" s="477">
        <f>landbouw!C8</f>
        <v>0</v>
      </c>
      <c r="D7" s="477">
        <f>landbouw!D8</f>
        <v>63.065590900644246</v>
      </c>
      <c r="E7" s="477">
        <f>landbouw!E8</f>
        <v>6.4664979847632447</v>
      </c>
      <c r="F7" s="477">
        <f>landbouw!F8</f>
        <v>916.51180072027273</v>
      </c>
      <c r="G7" s="477">
        <f>landbouw!G8</f>
        <v>0</v>
      </c>
      <c r="H7" s="477">
        <f>landbouw!H8</f>
        <v>0</v>
      </c>
      <c r="I7" s="477">
        <f>landbouw!I8</f>
        <v>0</v>
      </c>
      <c r="J7" s="477">
        <f>landbouw!J8</f>
        <v>31.873403734153033</v>
      </c>
      <c r="K7" s="477">
        <f>landbouw!K8</f>
        <v>0</v>
      </c>
      <c r="L7" s="477">
        <f>landbouw!L8</f>
        <v>0</v>
      </c>
      <c r="M7" s="477">
        <f>landbouw!M8</f>
        <v>0</v>
      </c>
      <c r="N7" s="477">
        <f>landbouw!N8</f>
        <v>0</v>
      </c>
      <c r="O7" s="477">
        <f>landbouw!O8</f>
        <v>0</v>
      </c>
      <c r="P7" s="478">
        <f>landbouw!P8</f>
        <v>0</v>
      </c>
      <c r="Q7" s="476">
        <f t="shared" si="0"/>
        <v>1237.9181788281048</v>
      </c>
    </row>
    <row r="8" spans="1:17">
      <c r="A8" s="476" t="s">
        <v>635</v>
      </c>
      <c r="B8" s="477">
        <f>industrie!B18</f>
        <v>38.749798469761203</v>
      </c>
      <c r="C8" s="477">
        <f>industrie!C18</f>
        <v>0</v>
      </c>
      <c r="D8" s="477">
        <f>industrie!D18</f>
        <v>97.347124278555484</v>
      </c>
      <c r="E8" s="477">
        <f>industrie!E18</f>
        <v>7.7604089602240842</v>
      </c>
      <c r="F8" s="477">
        <f>industrie!F18</f>
        <v>22.029358409678782</v>
      </c>
      <c r="G8" s="477">
        <f>industrie!G18</f>
        <v>0</v>
      </c>
      <c r="H8" s="477">
        <f>industrie!H18</f>
        <v>0</v>
      </c>
      <c r="I8" s="477">
        <f>industrie!I18</f>
        <v>0</v>
      </c>
      <c r="J8" s="477">
        <f>industrie!J18</f>
        <v>5.3856117376792981E-2</v>
      </c>
      <c r="K8" s="477">
        <f>industrie!K18</f>
        <v>0</v>
      </c>
      <c r="L8" s="477">
        <f>industrie!L18</f>
        <v>0</v>
      </c>
      <c r="M8" s="477">
        <f>industrie!M18</f>
        <v>0</v>
      </c>
      <c r="N8" s="477">
        <f>industrie!N18</f>
        <v>11.207401896047596</v>
      </c>
      <c r="O8" s="477">
        <f>industrie!O18</f>
        <v>0</v>
      </c>
      <c r="P8" s="478">
        <f>industrie!P18</f>
        <v>0</v>
      </c>
      <c r="Q8" s="476">
        <f t="shared" si="0"/>
        <v>177.14794813164394</v>
      </c>
    </row>
    <row r="9" spans="1:17" s="482" customFormat="1">
      <c r="A9" s="480" t="s">
        <v>561</v>
      </c>
      <c r="B9" s="481">
        <f>transport!B14</f>
        <v>1.407222929047147</v>
      </c>
      <c r="C9" s="481">
        <f>transport!C14</f>
        <v>0</v>
      </c>
      <c r="D9" s="481">
        <f>transport!D14</f>
        <v>4.2208611146468558</v>
      </c>
      <c r="E9" s="481">
        <f>transport!E14</f>
        <v>5.7663025794270482</v>
      </c>
      <c r="F9" s="481">
        <f>transport!F14</f>
        <v>0</v>
      </c>
      <c r="G9" s="481">
        <f>transport!G14</f>
        <v>2035.036905304916</v>
      </c>
      <c r="H9" s="481">
        <f>transport!H14</f>
        <v>480.24022571141995</v>
      </c>
      <c r="I9" s="481">
        <f>transport!I14</f>
        <v>0</v>
      </c>
      <c r="J9" s="481">
        <f>transport!J14</f>
        <v>0</v>
      </c>
      <c r="K9" s="481">
        <f>transport!K14</f>
        <v>0</v>
      </c>
      <c r="L9" s="481">
        <f>transport!L14</f>
        <v>0</v>
      </c>
      <c r="M9" s="481">
        <f>transport!M14</f>
        <v>133.06473183212569</v>
      </c>
      <c r="N9" s="481">
        <f>transport!N14</f>
        <v>0</v>
      </c>
      <c r="O9" s="481">
        <f>transport!O14</f>
        <v>0</v>
      </c>
      <c r="P9" s="481">
        <f>transport!P14</f>
        <v>0</v>
      </c>
      <c r="Q9" s="480">
        <f>SUM(B9:P9)</f>
        <v>2659.7362494715831</v>
      </c>
    </row>
    <row r="10" spans="1:17">
      <c r="A10" s="476" t="s">
        <v>551</v>
      </c>
      <c r="B10" s="477">
        <f>transport!B54</f>
        <v>0</v>
      </c>
      <c r="C10" s="477">
        <f>transport!C54</f>
        <v>0</v>
      </c>
      <c r="D10" s="477">
        <f>transport!D54</f>
        <v>0</v>
      </c>
      <c r="E10" s="477">
        <f>transport!E54</f>
        <v>0</v>
      </c>
      <c r="F10" s="477">
        <f>transport!F54</f>
        <v>0</v>
      </c>
      <c r="G10" s="477">
        <f>transport!G54</f>
        <v>39.875009032010198</v>
      </c>
      <c r="H10" s="477">
        <f>transport!H54</f>
        <v>0</v>
      </c>
      <c r="I10" s="477">
        <f>transport!I54</f>
        <v>0</v>
      </c>
      <c r="J10" s="477">
        <f>transport!J54</f>
        <v>0</v>
      </c>
      <c r="K10" s="477">
        <f>transport!K54</f>
        <v>0</v>
      </c>
      <c r="L10" s="477">
        <f>transport!L54</f>
        <v>0</v>
      </c>
      <c r="M10" s="477">
        <f>transport!M54</f>
        <v>2.2647244817449721</v>
      </c>
      <c r="N10" s="477">
        <f>transport!N54</f>
        <v>0</v>
      </c>
      <c r="O10" s="477">
        <f>transport!O54</f>
        <v>0</v>
      </c>
      <c r="P10" s="478">
        <f>transport!P54</f>
        <v>0</v>
      </c>
      <c r="Q10" s="476">
        <f t="shared" si="0"/>
        <v>42.139733513755168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53.378311451864604</v>
      </c>
      <c r="C14" s="484"/>
      <c r="D14" s="484">
        <f>'SEAP template'!E25</f>
        <v>171.013928894332</v>
      </c>
      <c r="E14" s="484"/>
      <c r="F14" s="484"/>
      <c r="G14" s="484"/>
      <c r="H14" s="484"/>
      <c r="I14" s="484"/>
      <c r="J14" s="484"/>
      <c r="K14" s="484"/>
      <c r="L14" s="484"/>
      <c r="M14" s="484"/>
      <c r="N14" s="484"/>
      <c r="O14" s="484"/>
      <c r="P14" s="485"/>
      <c r="Q14" s="476">
        <f t="shared" si="0"/>
        <v>224.39224034619662</v>
      </c>
    </row>
    <row r="15" spans="1:17" s="486" customFormat="1">
      <c r="A15" s="1039" t="s">
        <v>555</v>
      </c>
      <c r="B15" s="987">
        <f ca="1">SUM(B4:B14)</f>
        <v>2668.2147891919267</v>
      </c>
      <c r="C15" s="987">
        <f t="shared" ref="C15:Q15" ca="1" si="1">SUM(C4:C14)</f>
        <v>0</v>
      </c>
      <c r="D15" s="987">
        <f t="shared" ca="1" si="1"/>
        <v>6345.446893257953</v>
      </c>
      <c r="E15" s="987">
        <f t="shared" si="1"/>
        <v>261.13992966601893</v>
      </c>
      <c r="F15" s="987">
        <f t="shared" ca="1" si="1"/>
        <v>1063.59478535673</v>
      </c>
      <c r="G15" s="987">
        <f t="shared" si="1"/>
        <v>2074.9119143369262</v>
      </c>
      <c r="H15" s="987">
        <f t="shared" si="1"/>
        <v>480.24022571141995</v>
      </c>
      <c r="I15" s="987">
        <f t="shared" si="1"/>
        <v>0</v>
      </c>
      <c r="J15" s="987">
        <f t="shared" si="1"/>
        <v>430.37409607140091</v>
      </c>
      <c r="K15" s="987">
        <f t="shared" si="1"/>
        <v>0</v>
      </c>
      <c r="L15" s="987">
        <f t="shared" ca="1" si="1"/>
        <v>0</v>
      </c>
      <c r="M15" s="987">
        <f t="shared" si="1"/>
        <v>135.32945631387065</v>
      </c>
      <c r="N15" s="987">
        <f t="shared" ca="1" si="1"/>
        <v>856.30346128637336</v>
      </c>
      <c r="O15" s="987">
        <f t="shared" si="1"/>
        <v>4.6900000000000004</v>
      </c>
      <c r="P15" s="987">
        <f t="shared" si="1"/>
        <v>19.066666666666666</v>
      </c>
      <c r="Q15" s="987">
        <f t="shared" ca="1" si="1"/>
        <v>14339.312217859284</v>
      </c>
    </row>
    <row r="17" spans="1:17">
      <c r="A17" s="487" t="s">
        <v>556</v>
      </c>
      <c r="B17" s="786">
        <f ca="1">huishoudens!B10</f>
        <v>0.20634198501578968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342.75352453521498</v>
      </c>
      <c r="C22" s="477">
        <f t="shared" ref="C22:C32" ca="1" si="3">C4*$C$17</f>
        <v>0</v>
      </c>
      <c r="D22" s="477">
        <f t="shared" ref="D22:D32" si="4">D4*$D$17</f>
        <v>1024.6594479576681</v>
      </c>
      <c r="E22" s="477">
        <f t="shared" ref="E22:E32" si="5">E4*$E$17</f>
        <v>53.542957417688896</v>
      </c>
      <c r="F22" s="477">
        <f t="shared" ref="F22:F32" si="6">F4*$F$17</f>
        <v>0</v>
      </c>
      <c r="G22" s="477">
        <f t="shared" ref="G22:G32" si="7">G4*$G$17</f>
        <v>0</v>
      </c>
      <c r="H22" s="477">
        <f t="shared" ref="H22:H32" si="8">H4*$H$17</f>
        <v>0</v>
      </c>
      <c r="I22" s="477">
        <f t="shared" ref="I22:I32" si="9">I4*$I$17</f>
        <v>0</v>
      </c>
      <c r="J22" s="477">
        <f t="shared" ref="J22:J32" si="10">J4*$J$17</f>
        <v>141.04835993556287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1562.0042898461347</v>
      </c>
    </row>
    <row r="23" spans="1:17">
      <c r="A23" s="476" t="s">
        <v>156</v>
      </c>
      <c r="B23" s="477">
        <f t="shared" ca="1" si="2"/>
        <v>129.78315117090685</v>
      </c>
      <c r="C23" s="477">
        <f t="shared" ca="1" si="3"/>
        <v>0</v>
      </c>
      <c r="D23" s="477">
        <f t="shared" ca="1" si="4"/>
        <v>189.32002843242631</v>
      </c>
      <c r="E23" s="477">
        <f t="shared" si="5"/>
        <v>1.1973480544553332</v>
      </c>
      <c r="F23" s="477">
        <f t="shared" ca="1" si="6"/>
        <v>33.389318202549845</v>
      </c>
      <c r="G23" s="477">
        <f t="shared" si="7"/>
        <v>0</v>
      </c>
      <c r="H23" s="477">
        <f t="shared" si="8"/>
        <v>0</v>
      </c>
      <c r="I23" s="477">
        <f t="shared" si="9"/>
        <v>0</v>
      </c>
      <c r="J23" s="477">
        <f t="shared" si="10"/>
        <v>1.820086271496054E-3</v>
      </c>
      <c r="K23" s="477">
        <f t="shared" si="11"/>
        <v>0</v>
      </c>
      <c r="L23" s="477">
        <f t="shared" ca="1" si="12"/>
        <v>0</v>
      </c>
      <c r="M23" s="477">
        <f t="shared" si="13"/>
        <v>0</v>
      </c>
      <c r="N23" s="477">
        <f t="shared" ca="1" si="14"/>
        <v>0</v>
      </c>
      <c r="O23" s="477">
        <f t="shared" si="15"/>
        <v>0</v>
      </c>
      <c r="P23" s="478">
        <f t="shared" si="16"/>
        <v>0</v>
      </c>
      <c r="Q23" s="476">
        <f t="shared" ref="Q23:Q32" ca="1" si="17">SUM(B23:P23)</f>
        <v>353.69166594660982</v>
      </c>
    </row>
    <row r="24" spans="1:17">
      <c r="A24" s="476" t="s">
        <v>194</v>
      </c>
      <c r="B24" s="477">
        <f t="shared" ca="1" si="2"/>
        <v>13.332374677825218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13.332374677825218</v>
      </c>
    </row>
    <row r="25" spans="1:17">
      <c r="A25" s="476" t="s">
        <v>112</v>
      </c>
      <c r="B25" s="477">
        <f t="shared" ca="1" si="2"/>
        <v>45.395419416881396</v>
      </c>
      <c r="C25" s="477">
        <f t="shared" ca="1" si="3"/>
        <v>0</v>
      </c>
      <c r="D25" s="477">
        <f t="shared" si="4"/>
        <v>12.739249361930138</v>
      </c>
      <c r="E25" s="477">
        <f t="shared" si="5"/>
        <v>1.4678950425412567</v>
      </c>
      <c r="F25" s="477">
        <f t="shared" si="6"/>
        <v>244.70865079231282</v>
      </c>
      <c r="G25" s="477">
        <f t="shared" si="7"/>
        <v>0</v>
      </c>
      <c r="H25" s="477">
        <f t="shared" si="8"/>
        <v>0</v>
      </c>
      <c r="I25" s="477">
        <f t="shared" si="9"/>
        <v>0</v>
      </c>
      <c r="J25" s="477">
        <f t="shared" si="10"/>
        <v>11.283184921890173</v>
      </c>
      <c r="K25" s="477">
        <f t="shared" si="11"/>
        <v>0</v>
      </c>
      <c r="L25" s="477">
        <f t="shared" si="12"/>
        <v>0</v>
      </c>
      <c r="M25" s="477">
        <f t="shared" si="13"/>
        <v>0</v>
      </c>
      <c r="N25" s="477">
        <f t="shared" si="14"/>
        <v>0</v>
      </c>
      <c r="O25" s="477">
        <f t="shared" si="15"/>
        <v>0</v>
      </c>
      <c r="P25" s="478">
        <f t="shared" si="16"/>
        <v>0</v>
      </c>
      <c r="Q25" s="476">
        <f t="shared" ca="1" si="17"/>
        <v>315.59439953555574</v>
      </c>
    </row>
    <row r="26" spans="1:17">
      <c r="A26" s="476" t="s">
        <v>635</v>
      </c>
      <c r="B26" s="477">
        <f t="shared" ca="1" si="2"/>
        <v>7.995710335212336</v>
      </c>
      <c r="C26" s="477">
        <f t="shared" ca="1" si="3"/>
        <v>0</v>
      </c>
      <c r="D26" s="477">
        <f t="shared" si="4"/>
        <v>19.66411910426821</v>
      </c>
      <c r="E26" s="477">
        <f t="shared" si="5"/>
        <v>1.7616128339708672</v>
      </c>
      <c r="F26" s="477">
        <f t="shared" si="6"/>
        <v>5.8818386953842348</v>
      </c>
      <c r="G26" s="477">
        <f t="shared" si="7"/>
        <v>0</v>
      </c>
      <c r="H26" s="477">
        <f t="shared" si="8"/>
        <v>0</v>
      </c>
      <c r="I26" s="477">
        <f t="shared" si="9"/>
        <v>0</v>
      </c>
      <c r="J26" s="477">
        <f t="shared" si="10"/>
        <v>1.9065065551384715E-2</v>
      </c>
      <c r="K26" s="477">
        <f t="shared" si="11"/>
        <v>0</v>
      </c>
      <c r="L26" s="477">
        <f t="shared" si="12"/>
        <v>0</v>
      </c>
      <c r="M26" s="477">
        <f t="shared" si="13"/>
        <v>0</v>
      </c>
      <c r="N26" s="477">
        <f t="shared" si="14"/>
        <v>0</v>
      </c>
      <c r="O26" s="477">
        <f t="shared" si="15"/>
        <v>0</v>
      </c>
      <c r="P26" s="478">
        <f t="shared" si="16"/>
        <v>0</v>
      </c>
      <c r="Q26" s="476">
        <f t="shared" ca="1" si="17"/>
        <v>35.322346034387039</v>
      </c>
    </row>
    <row r="27" spans="1:17" s="482" customFormat="1">
      <c r="A27" s="480" t="s">
        <v>561</v>
      </c>
      <c r="B27" s="780">
        <f t="shared" ca="1" si="2"/>
        <v>0.29036917253932204</v>
      </c>
      <c r="C27" s="481">
        <f t="shared" ca="1" si="3"/>
        <v>0</v>
      </c>
      <c r="D27" s="481">
        <f t="shared" si="4"/>
        <v>0.85261394515866495</v>
      </c>
      <c r="E27" s="481">
        <f t="shared" si="5"/>
        <v>1.30895068552994</v>
      </c>
      <c r="F27" s="481">
        <f t="shared" si="6"/>
        <v>0</v>
      </c>
      <c r="G27" s="481">
        <f t="shared" si="7"/>
        <v>543.35485371641255</v>
      </c>
      <c r="H27" s="481">
        <f t="shared" si="8"/>
        <v>119.57981620214356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665.38660372178401</v>
      </c>
    </row>
    <row r="28" spans="1:17">
      <c r="A28" s="476" t="s">
        <v>551</v>
      </c>
      <c r="B28" s="477">
        <f t="shared" ca="1" si="2"/>
        <v>0</v>
      </c>
      <c r="C28" s="477">
        <f t="shared" ca="1" si="3"/>
        <v>0</v>
      </c>
      <c r="D28" s="477">
        <f t="shared" si="4"/>
        <v>0</v>
      </c>
      <c r="E28" s="477">
        <f t="shared" si="5"/>
        <v>0</v>
      </c>
      <c r="F28" s="477">
        <f t="shared" si="6"/>
        <v>0</v>
      </c>
      <c r="G28" s="477">
        <f t="shared" si="7"/>
        <v>10.646627411546723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10.646627411546723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11.014186741768802</v>
      </c>
      <c r="C32" s="477">
        <f t="shared" ca="1" si="3"/>
        <v>0</v>
      </c>
      <c r="D32" s="477">
        <f t="shared" si="4"/>
        <v>34.544813636655064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45.559000378423868</v>
      </c>
    </row>
    <row r="33" spans="1:17" s="486" customFormat="1">
      <c r="A33" s="1039" t="s">
        <v>555</v>
      </c>
      <c r="B33" s="987">
        <f ca="1">SUM(B22:B32)</f>
        <v>550.56473605034887</v>
      </c>
      <c r="C33" s="987">
        <f t="shared" ref="C33:Q33" ca="1" si="18">SUM(C22:C32)</f>
        <v>0</v>
      </c>
      <c r="D33" s="987">
        <f t="shared" ca="1" si="18"/>
        <v>1281.7802724381067</v>
      </c>
      <c r="E33" s="987">
        <f t="shared" si="18"/>
        <v>59.278764034186295</v>
      </c>
      <c r="F33" s="987">
        <f t="shared" ca="1" si="18"/>
        <v>283.9798076902469</v>
      </c>
      <c r="G33" s="987">
        <f t="shared" si="18"/>
        <v>554.00148112795932</v>
      </c>
      <c r="H33" s="987">
        <f t="shared" si="18"/>
        <v>119.57981620214356</v>
      </c>
      <c r="I33" s="987">
        <f t="shared" si="18"/>
        <v>0</v>
      </c>
      <c r="J33" s="987">
        <f t="shared" si="18"/>
        <v>152.35243000927593</v>
      </c>
      <c r="K33" s="987">
        <f t="shared" si="18"/>
        <v>0</v>
      </c>
      <c r="L33" s="987">
        <f t="shared" ca="1" si="18"/>
        <v>0</v>
      </c>
      <c r="M33" s="987">
        <f t="shared" si="18"/>
        <v>0</v>
      </c>
      <c r="N33" s="987">
        <f t="shared" ca="1" si="18"/>
        <v>0</v>
      </c>
      <c r="O33" s="987">
        <f t="shared" si="18"/>
        <v>0</v>
      </c>
      <c r="P33" s="987">
        <f t="shared" si="18"/>
        <v>0</v>
      </c>
      <c r="Q33" s="987">
        <f t="shared" ca="1" si="18"/>
        <v>3001.5373075522671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176.97163964283632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176.97163964283632</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0.20634198501578968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0.20634198501578968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2019-08-12T08:33:21Z</dcterms:modified>
</cp:coreProperties>
</file>