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O9" i="18"/>
  <c r="Q14" i="48"/>
  <c r="L78" i="14"/>
  <c r="L8" i="61"/>
  <c r="L10" s="1"/>
  <c r="E18"/>
  <c r="E20" s="1"/>
  <c r="K78" i="14"/>
  <c r="K8" i="61"/>
  <c r="K10" s="1"/>
  <c r="L90" i="14"/>
  <c r="L18" i="61"/>
  <c r="C98" i="18"/>
  <c r="N20" i="61"/>
  <c r="N77" i="14"/>
  <c r="E89"/>
  <c r="E19" i="61" s="1"/>
  <c r="B10" i="18"/>
  <c r="L20" i="61"/>
  <c r="P31" i="48"/>
  <c r="J22" i="14"/>
  <c r="P22"/>
  <c r="E10" i="61"/>
  <c r="B17" i="18"/>
  <c r="B20" s="1"/>
  <c r="F13" i="15"/>
  <c r="O10" i="61"/>
  <c r="L20" i="18"/>
  <c r="O77" i="14"/>
  <c r="O9" i="61" s="1"/>
  <c r="P27" i="48"/>
  <c r="M77" i="14"/>
  <c r="M9" i="61" s="1"/>
  <c r="O22" i="14"/>
  <c r="H20" i="61"/>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O19"/>
  <c r="D10"/>
  <c r="Q89" i="14"/>
  <c r="P19" i="61" s="1"/>
  <c r="O29" i="48"/>
  <c r="O27"/>
  <c r="P29"/>
  <c r="P32"/>
  <c r="O24"/>
  <c r="P24"/>
  <c r="P30"/>
  <c r="G78" i="14"/>
  <c r="R9"/>
  <c r="D22"/>
  <c r="E55"/>
  <c r="R25"/>
  <c r="E78"/>
  <c r="H78" l="1"/>
  <c r="H9" i="61"/>
  <c r="H10" s="1"/>
  <c r="O90" i="14"/>
  <c r="O18" i="61"/>
  <c r="O20" s="1"/>
  <c r="N78" i="14"/>
  <c r="N9" i="61"/>
  <c r="N10" s="1"/>
  <c r="B89" i="14"/>
  <c r="B19" i="61" s="1"/>
  <c r="C89" i="14"/>
  <c r="C19" i="61" s="1"/>
  <c r="O78" i="14"/>
  <c r="E90"/>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9" i="48" l="1"/>
  <c r="I31"/>
  <c r="I24"/>
  <c r="I28"/>
  <c r="I30"/>
  <c r="I22"/>
  <c r="I26"/>
  <c r="I25"/>
  <c r="I27"/>
  <c r="I32"/>
  <c r="H29"/>
  <c r="H32"/>
  <c r="H25"/>
  <c r="H26"/>
  <c r="H28"/>
  <c r="H30"/>
  <c r="H24"/>
  <c r="H22"/>
  <c r="H23"/>
  <c r="D11" i="14"/>
  <c r="C4" i="48"/>
  <c r="F32"/>
  <c r="F24"/>
  <c r="F31"/>
  <c r="F29"/>
  <c r="F30"/>
  <c r="F28"/>
  <c r="F27"/>
  <c r="E29"/>
  <c r="E31"/>
  <c r="E24"/>
  <c r="E32"/>
  <c r="E30"/>
  <c r="E28"/>
  <c r="K5"/>
  <c r="L10" i="14"/>
  <c r="L16" s="1"/>
  <c r="L27" s="1"/>
  <c r="D30" i="48"/>
  <c r="D28"/>
  <c r="D29"/>
  <c r="D32"/>
  <c r="D24"/>
  <c r="D31"/>
  <c r="K32"/>
  <c r="K24"/>
  <c r="K27"/>
  <c r="K29"/>
  <c r="K30"/>
  <c r="K26"/>
  <c r="K31"/>
  <c r="K28"/>
  <c r="K22"/>
  <c r="K25"/>
  <c r="C24" i="14"/>
  <c r="C26" s="1"/>
  <c r="B7" i="48"/>
  <c r="J15" i="16"/>
  <c r="P11" i="14"/>
  <c r="O4" i="48"/>
  <c r="D4"/>
  <c r="D22" s="1"/>
  <c r="E11" i="14"/>
  <c r="G23" i="48"/>
  <c r="G32"/>
  <c r="G30"/>
  <c r="G22"/>
  <c r="G25"/>
  <c r="G29"/>
  <c r="G24"/>
  <c r="G26"/>
  <c r="B4"/>
  <c r="C11" i="14"/>
  <c r="N32" i="48"/>
  <c r="N24"/>
  <c r="N31"/>
  <c r="N30"/>
  <c r="N28"/>
  <c r="N29"/>
  <c r="N27"/>
  <c r="B10"/>
  <c r="C19" i="14"/>
  <c r="M29" i="48"/>
  <c r="M30"/>
  <c r="M25"/>
  <c r="M26"/>
  <c r="M32"/>
  <c r="M22"/>
  <c r="M24"/>
  <c r="M23"/>
  <c r="L29"/>
  <c r="L32"/>
  <c r="L24"/>
  <c r="L30"/>
  <c r="L28"/>
  <c r="L31"/>
  <c r="L22"/>
  <c r="L27"/>
  <c r="Q10" i="14"/>
  <c r="P5" i="48"/>
  <c r="P23" s="1"/>
  <c r="J30"/>
  <c r="J32"/>
  <c r="J24"/>
  <c r="J31"/>
  <c r="J29"/>
  <c r="J27"/>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15"/>
  <c r="O22"/>
  <c r="K23"/>
  <c r="K33" s="1"/>
  <c r="K15"/>
  <c r="E9"/>
  <c r="E27" s="1"/>
  <c r="F20" i="14"/>
  <c r="F22" s="1"/>
  <c r="P8" i="48"/>
  <c r="P26" s="1"/>
  <c r="Q13" i="14"/>
  <c r="Q16" s="1"/>
  <c r="Q27" s="1"/>
  <c r="D9" i="48"/>
  <c r="D27" s="1"/>
  <c r="E20" i="14"/>
  <c r="E22" s="1"/>
  <c r="P10"/>
  <c r="O5" i="48"/>
  <c r="O23" s="1"/>
  <c r="G11" i="14"/>
  <c r="F4" i="48"/>
  <c r="F22" s="1"/>
  <c r="J10" i="14"/>
  <c r="J16" s="1"/>
  <c r="J27" s="1"/>
  <c r="J63" s="1"/>
  <c r="I5" i="48"/>
  <c r="C22" i="14"/>
  <c r="H18"/>
  <c r="G13" i="48"/>
  <c r="G31" s="1"/>
  <c r="B9"/>
  <c r="C20" i="14"/>
  <c r="K24"/>
  <c r="K26" s="1"/>
  <c r="J7" i="48"/>
  <c r="J25" s="1"/>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G10" i="48"/>
  <c r="H19" i="14"/>
  <c r="E7" i="48"/>
  <c r="E25" s="1"/>
  <c r="F24" i="14"/>
  <c r="F26" s="1"/>
  <c r="P13"/>
  <c r="O8" i="48"/>
  <c r="Q63" i="14"/>
  <c r="P33" i="48"/>
  <c r="J4"/>
  <c r="K11" i="14"/>
  <c r="O11"/>
  <c r="N4" i="48"/>
  <c r="N22" s="1"/>
  <c r="I15"/>
  <c r="I23"/>
  <c r="I33" s="1"/>
  <c r="M10"/>
  <c r="M28" s="1"/>
  <c r="N19" i="14"/>
  <c r="P46"/>
  <c r="P61" s="1"/>
  <c r="P63" s="1"/>
  <c r="M14" i="22"/>
  <c r="M18" s="1"/>
  <c r="N50" i="14" s="1"/>
  <c r="N52" s="1"/>
  <c r="N61" s="1"/>
  <c r="P16"/>
  <c r="P27" s="1"/>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R20" s="1"/>
  <c r="J5" i="48"/>
  <c r="J23" s="1"/>
  <c r="K10" i="14"/>
  <c r="J22" i="48"/>
  <c r="G28"/>
  <c r="Q10"/>
  <c r="F10" i="14"/>
  <c r="E5" i="48"/>
  <c r="E23" s="1"/>
  <c r="O26"/>
  <c r="O33" s="1"/>
  <c r="O15"/>
  <c r="E22"/>
  <c r="Q4"/>
  <c r="N20" i="14"/>
  <c r="N22" s="1"/>
  <c r="N27" s="1"/>
  <c r="N63" s="1"/>
  <c r="Q7" i="48"/>
  <c r="H22" i="14"/>
  <c r="H27" s="1"/>
  <c r="R19"/>
  <c r="R22" s="1"/>
  <c r="M15" i="48"/>
  <c r="M27"/>
  <c r="M33" s="1"/>
  <c r="Q9"/>
  <c r="H15"/>
  <c r="H27"/>
  <c r="H33" s="1"/>
  <c r="R24" i="14"/>
  <c r="R26" s="1"/>
  <c r="N18" i="16"/>
  <c r="E20" i="15"/>
  <c r="F40" i="14" s="1"/>
  <c r="F18" i="16"/>
  <c r="J18"/>
  <c r="E18"/>
  <c r="G18" i="22"/>
  <c r="H50" i="14" s="1"/>
  <c r="H52" s="1"/>
  <c r="H61" s="1"/>
  <c r="H63" s="1"/>
  <c r="H18" i="22"/>
  <c r="I50" i="14" s="1"/>
  <c r="I52" s="1"/>
  <c r="I61" s="1"/>
  <c r="I63" s="1"/>
  <c r="J8" i="48" l="1"/>
  <c r="K13" i="14"/>
  <c r="F13"/>
  <c r="F16" s="1"/>
  <c r="F27" s="1"/>
  <c r="F63" s="1"/>
  <c r="E8" i="48"/>
  <c r="E26" s="1"/>
  <c r="E33" s="1"/>
  <c r="G27"/>
  <c r="G33" s="1"/>
  <c r="G15"/>
  <c r="K16" i="14"/>
  <c r="K27" s="1"/>
  <c r="K63" s="1"/>
  <c r="E15" i="48"/>
  <c r="N8"/>
  <c r="N26" s="1"/>
  <c r="O13" i="14"/>
  <c r="F8" i="48"/>
  <c r="G13" i="14"/>
  <c r="R13" s="1"/>
  <c r="E22" i="16"/>
  <c r="F43" i="14" s="1"/>
  <c r="F46" s="1"/>
  <c r="F61" s="1"/>
  <c r="F22" i="16"/>
  <c r="G43" i="14" s="1"/>
  <c r="N22" i="16"/>
  <c r="O43" i="14" s="1"/>
  <c r="J22" i="16"/>
  <c r="K43" i="14" s="1"/>
  <c r="K46" s="1"/>
  <c r="K61" s="1"/>
  <c r="J26" i="48" l="1"/>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<sst xmlns="http://schemas.openxmlformats.org/spreadsheetml/2006/main" count="2408" uniqueCount="898">
  <si>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</si>
  <si>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</si>
  <si>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</si>
  <si>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</si>
  <si>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</si>
  <si>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</si>
  <si>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</si>
  <si>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</si>
  <si>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</si>
  <si>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</si>
  <si>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</si>
  <si>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</si>
  <si>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</si>
  <si>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</si>
  <si>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</si>
  <si>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</si>
  <si>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</si>
  <si>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</si>
  <si>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</si>
  <si>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</si>
  <si>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</si>
  <si>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</si>
  <si>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</si>
  <si>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</si>
  <si>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</si>
  <si>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</si>
  <si>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</si>
  <si>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</si>
  <si>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</si>
  <si>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</si>
  <si>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</si>
  <si>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</si>
  <si>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</si>
  <si>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</si>
  <si>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</si>
  <si>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</si>
  <si>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</si>
  <si>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</si>
  <si>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</si>
  <si>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</si>
  <si>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</si>
  <si>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</si>
  <si>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</si>
  <si>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</si>
  <si>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</si>
  <si>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</si>
  <si>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</si>
  <si>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</si>
  <si>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</si>
  <si>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</si>
  <si>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</si>
  <si>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</si>
  <si>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</si>
  <si>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</si>
  <si>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</si>
  <si>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</si>
  <si>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</si>
  <si>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</si>
  <si>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</si>
  <si>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</si>
  <si>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</si>
  <si>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</si>
  <si>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</si>
  <si>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</si>
  <si>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</si>
  <si>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</si>
  <si>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</si>
  <si>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</si>
  <si>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</si>
  <si>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</si>
  <si>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</si>
  <si>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</si>
  <si>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</si>
  <si>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</si>
  <si>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</si>
  <si>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</si>
  <si>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</si>
  <si>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</si>
  <si>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</si>
  <si>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</si>
  <si>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</si>
  <si>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</si>
  <si>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</si>
  <si>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</si>
  <si>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</si>
  <si>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</si>
  <si>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</si>
  <si>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</si>
  <si>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</si>
  <si>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</si>
  <si>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</si>
  <si>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</si>
  <si>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</si>
  <si>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</si>
  <si>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</si>
  <si>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</si>
  <si>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</si>
  <si>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</si>
  <si>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</si>
  <si>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</si>
  <si>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</si>
  <si>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</si>
  <si>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</si>
  <si>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</si>
  <si>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</si>
  <si>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</si>
  <si>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</si>
  <si>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</si>
  <si>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</si>
  <si>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</si>
  <si>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</si>
  <si>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</si>
  <si>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</si>
  <si>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</si>
  <si>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</si>
  <si>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</si>
  <si>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</si>
  <si>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</si>
  <si>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</si>
  <si>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</si>
  <si>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</si>
  <si>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</si>
  <si>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</si>
  <si>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</si>
  <si>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</si>
  <si>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</si>
  <si>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</si>
  <si>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</si>
  <si>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</si>
  <si>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</si>
  <si>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</si>
  <si>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</si>
  <si>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</si>
  <si>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</si>
  <si>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</si>
  <si>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</si>
  <si>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</si>
  <si>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</si>
  <si>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</si>
  <si>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</si>
  <si>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</si>
  <si>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</si>
  <si>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</si>
  <si>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</si>
  <si>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</si>
  <si>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</si>
  <si>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</si>
  <si>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</si>
  <si>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</si>
  <si>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</si>
  <si>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</si>
  <si>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</si>
  <si>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</si>
  <si>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</si>
  <si>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</si>
  <si>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</si>
  <si>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</si>
  <si>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</si>
  <si>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</si>
  <si>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</si>
  <si>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</si>
  <si>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</si>
  <si>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</si>
  <si>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</si>
  <si>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</si>
  <si>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</si>
  <si>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</si>
  <si>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</si>
  <si>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</si>
  <si>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</si>
  <si>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</si>
  <si>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</si>
  <si>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</si>
  <si>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</si>
  <si>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</si>
  <si>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</si>
  <si>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</si>
  <si>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</si>
  <si>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</si>
  <si>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</si>
  <si>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</si>
  <si>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</si>
  <si>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</si>
  <si>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</si>
  <si>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</si>
  <si>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</si>
  <si>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</si>
  <si>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</si>
  <si>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</si>
  <si>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</si>
  <si>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</si>
  <si>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</si>
  <si>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</si>
  <si>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</si>
  <si>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</si>
  <si>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</si>
  <si>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</si>
  <si>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</si>
  <si>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</si>
  <si>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</si>
  <si>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</si>
  <si>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</si>
  <si>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</si>
  <si>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</si>
  <si>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</si>
  <si>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</si>
  <si>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</si>
  <si>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</si>
  <si>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</si>
  <si>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</si>
  <si>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</si>
  <si>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</si>
  <si>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</si>
  <si>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</si>
  <si>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</si>
  <si>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</si>
  <si>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</si>
  <si>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</si>
  <si>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</si>
  <si>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</si>
  <si>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</si>
  <si>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</si>
  <si>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</si>
  <si>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</si>
  <si>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</si>
  <si>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</si>
  <si>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</si>
  <si>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</si>
  <si>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</si>
  <si>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</si>
  <si>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</si>
  <si>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</si>
  <si>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</si>
  <si>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</si>
  <si>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</si>
  <si>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</si>
  <si>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</si>
  <si>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</si>
  <si>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</si>
  <si>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</si>
  <si>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</si>
  <si>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</si>
  <si>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</si>
  <si>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</si>
  <si>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</si>
  <si>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</si>
  <si>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</si>
  <si>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</si>
  <si>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</si>
  <si>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</si>
  <si>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</si>
  <si>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</si>
  <si>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</si>
  <si>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</si>
  <si>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</si>
  <si>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</si>
  <si>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</si>
  <si>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</si>
  <si>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</si>
  <si>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</si>
  <si>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</si>
  <si>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</si>
  <si>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</si>
  <si>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</si>
  <si>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</si>
  <si>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</si>
  <si>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</si>
  <si>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</si>
  <si>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</si>
  <si>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</si>
  <si>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</si>
  <si>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</si>
  <si>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</si>
  <si>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</si>
  <si>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</si>
  <si>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</si>
  <si>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</si>
  <si>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</si>
  <si>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</si>
  <si>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</si>
  <si>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</si>
  <si>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</si>
  <si>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</si>
  <si>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</si>
  <si>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</si>
  <si>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</si>
  <si>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</si>
  <si>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</si>
  <si>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</si>
  <si>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</si>
  <si>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</si>
  <si>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</si>
  <si>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</si>
  <si>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</si>
  <si>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</si>
  <si>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</si>
  <si>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</si>
  <si>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</si>
  <si>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</si>
  <si>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</si>
  <si>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</si>
  <si>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</si>
  <si>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</si>
  <si>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</si>
  <si>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</si>
  <si>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</si>
  <si>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</si>
  <si>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</si>
  <si>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</si>
  <si>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</si>
  <si>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</si>
  <si>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</si>
  <si>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</si>
  <si>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</si>
  <si>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</si>
  <si>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</si>
  <si>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</si>
  <si>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</si>
  <si>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</si>
  <si>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</si>
  <si>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</si>
  <si>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</si>
  <si>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</si>
  <si>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</si>
  <si>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</si>
  <si>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</si>
  <si>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</si>
  <si>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</si>
  <si>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</si>
  <si>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</si>
  <si>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</si>
  <si>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</si>
  <si>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</si>
  <si>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</si>
  <si>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</si>
  <si>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</si>
  <si>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</si>
  <si>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</si>
  <si>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</si>
  <si>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</si>
  <si>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</si>
  <si>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</si>
  <si>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</si>
  <si>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</si>
  <si>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</si>
  <si>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</si>
  <si>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</si>
  <si>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</si>
  <si>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</si>
  <si>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</si>
  <si>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</si>
  <si>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</si>
  <si>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</si>
  <si>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</si>
  <si>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</si>
  <si>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</si>
  <si>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</si>
  <si>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</si>
  <si>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</si>
  <si>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</si>
  <si>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</si>
  <si>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</si>
  <si>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</si>
  <si>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</si>
  <si>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</si>
  <si>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</si>
  <si>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</si>
  <si>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</si>
  <si>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</si>
  <si>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</si>
  <si>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</si>
  <si>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</si>
  <si>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</si>
  <si>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</si>
  <si>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</si>
  <si>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</si>
  <si>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</si>
  <si>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</si>
  <si>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</si>
  <si>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</si>
  <si>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</si>
  <si>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</si>
  <si>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</si>
  <si>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</si>
  <si>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</si>
  <si>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</si>
  <si>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</si>
  <si>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</si>
  <si>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</si>
  <si>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</si>
  <si>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</si>
  <si>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</si>
  <si>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</si>
  <si>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</si>
  <si>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</si>
  <si>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</si>
  <si>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</si>
  <si>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</si>
  <si>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</si>
  <si>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</si>
  <si>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</si>
  <si>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</si>
  <si>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</si>
  <si>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</si>
  <si>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</si>
  <si>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</si>
  <si>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</si>
  <si>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</si>
  <si>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</si>
  <si>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</si>
  <si>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</si>
  <si>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</si>
  <si>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</si>
  <si>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</si>
  <si>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</si>
  <si>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</si>
  <si>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</si>
  <si>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</si>
  <si>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</si>
  <si>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</si>
  <si>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</si>
  <si>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</si>
  <si>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</si>
  <si>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</si>
  <si>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</si>
  <si>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</si>
  <si>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</si>
  <si>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</si>
  <si>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</si>
  <si>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</si>
  <si>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</si>
  <si>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</si>
  <si>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</si>
  <si>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</si>
  <si>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</si>
  <si>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</si>
  <si>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</si>
  <si>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</si>
  <si>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</si>
  <si>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</si>
  <si>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</si>
  <si>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</si>
  <si>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</si>
  <si>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</si>
  <si>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</si>
  <si>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</si>
  <si>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</si>
  <si>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</si>
  <si>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</si>
  <si>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</si>
  <si>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</si>
  <si>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</si>
  <si>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</si>
  <si>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</si>
  <si>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</si>
  <si>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</si>
  <si>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</si>
  <si>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</si>
  <si>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</si>
  <si>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</si>
  <si>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</si>
  <si>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</si>
  <si>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</si>
  <si>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</si>
  <si>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</si>
  <si>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</si>
  <si>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</si>
  <si>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</si>
  <si>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</si>
  <si>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</si>
  <si>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</si>
  <si>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</si>
  <si>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</si>
  <si>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</si>
  <si>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</si>
  <si>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</si>
  <si>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</si>
  <si>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</si>
  <si>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</si>
  <si>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</si>
  <si>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</si>
  <si>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</si>
  <si>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</si>
  <si>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</si>
  <si>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</si>
  <si>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</si>
  <si>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</si>
  <si>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</si>
  <si>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</si>
  <si>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</si>
  <si>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</si>
  <si>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</si>
  <si>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</si>
  <si>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</si>
  <si>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</si>
  <si>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</si>
  <si>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</si>
  <si>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</si>
  <si>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</si>
  <si>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</si>
  <si>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</si>
  <si>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</si>
  <si>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</si>
  <si>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</si>
  <si>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</si>
  <si>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</si>
  <si>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</si>
  <si>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</si>
  <si>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</si>
  <si>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</si>
  <si>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</si>
  <si>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</si>
  <si>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</si>
  <si>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</si>
  <si>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</si>
  <si>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</si>
  <si>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</si>
  <si>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</si>
  <si>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</si>
  <si>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</si>
  <si>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</si>
  <si>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</si>
  <si>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</si>
  <si>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</si>
  <si>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</si>
  <si>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</si>
  <si>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</si>
  <si>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</si>
  <si>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</si>
  <si>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</si>
  <si>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</si>
  <si>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</si>
  <si>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</si>
  <si>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</si>
  <si>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</si>
  <si>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</si>
  <si>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</si>
  <si>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</si>
  <si>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</si>
  <si>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</si>
  <si>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</si>
  <si>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</si>
  <si>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</si>
  <si>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</si>
  <si>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</si>
  <si>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</si>
  <si>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</si>
  <si>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</si>
  <si>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</si>
  <si>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</si>
  <si>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</si>
  <si>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</si>
  <si>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</si>
  <si>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</si>
  <si>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</si>
  <si>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</si>
  <si>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</si>
  <si>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</si>
  <si>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</si>
  <si>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</si>
  <si>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</si>
  <si>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</si>
  <si>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</si>
  <si>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</si>
  <si>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</si>
  <si>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</si>
  <si>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</si>
  <si>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</si>
  <si>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</si>
  <si>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</si>
  <si>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</si>
  <si>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</si>
  <si>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</si>
  <si>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</si>
  <si>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</si>
  <si>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</si>
  <si>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</si>
  <si>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</si>
  <si>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</si>
  <si>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</si>
  <si>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</si>
  <si>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</si>
  <si>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</si>
  <si>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</si>
  <si>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</si>
  <si>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</si>
  <si>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</si>
  <si>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</si>
  <si>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</si>
  <si>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</si>
  <si>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</si>
  <si>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</si>
  <si>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</si>
  <si>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</si>
  <si>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</si>
  <si>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</si>
  <si>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</si>
  <si>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</si>
  <si>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</si>
  <si>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</si>
  <si>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</si>
  <si>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</si>
  <si>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</si>
  <si>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</si>
  <si>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</si>
  <si>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</si>
  <si>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</si>
  <si>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</si>
  <si>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</si>
  <si>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</si>
  <si>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</si>
  <si>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</si>
  <si>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</si>
  <si>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</si>
  <si>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</si>
  <si>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</si>
  <si>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</si>
  <si>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</si>
  <si>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</si>
  <si>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</si>
  <si>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</si>
  <si>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</si>
  <si>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</si>
  <si>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</si>
  <si>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</si>
  <si>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</si>
  <si>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</si>
  <si>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</si>
  <si>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</si>
  <si>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</si>
  <si>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</si>
  <si>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</si>
  <si>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</si>
  <si>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</si>
  <si>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</si>
  <si>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</si>
  <si>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</si>
  <si>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</si>
  <si>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</si>
  <si>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</si>
  <si>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</si>
  <si>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</si>
  <si>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</si>
  <si>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</si>
  <si>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</si>
  <si>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</si>
  <si>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</si>
  <si>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</si>
  <si>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</si>
  <si>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</si>
  <si>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</si>
  <si>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</si>
  <si>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</si>
  <si>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</si>
  <si>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</si>
  <si>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</si>
  <si>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</si>
  <si>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</si>
  <si>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</si>
  <si>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</si>
  <si>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</si>
  <si>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</si>
  <si>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</si>
  <si>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</si>
  <si>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</si>
  <si>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</si>
  <si>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</si>
  <si>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</si>
  <si>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</si>
  <si>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</si>
  <si>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</si>
  <si>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</si>
  <si>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</si>
  <si>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</si>
  <si>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</si>
  <si>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</si>
  <si>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</si>
  <si>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</si>
  <si>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</si>
  <si>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</si>
  <si>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</si>
  <si>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</si>
  <si>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</si>
  <si>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</si>
  <si>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</si>
  <si>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</si>
  <si>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</si>
  <si>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</si>
  <si>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</si>
  <si>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</si>
  <si>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</si>
  <si>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</si>
  <si>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</si>
  <si>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</si>
  <si>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</si>
  <si>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</si>
  <si>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</si>
  <si>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</si>
  <si>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</si>
  <si>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</si>
  <si>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</si>
  <si>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</si>
  <si>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</si>
  <si>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</si>
  <si>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</si>
  <si>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</si>
  <si>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</si>
  <si>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</si>
  <si>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</si>
  <si>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</si>
  <si>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</si>
  <si>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</si>
  <si>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</si>
  <si>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</si>
  <si>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</si>
  <si>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</si>
  <si>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</si>
  <si>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</si>
  <si>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</si>
  <si>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</si>
  <si>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</si>
  <si>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</si>
  <si>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</si>
  <si>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</si>
  <si>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</si>
  <si>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</si>
  <si>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</si>
  <si>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</si>
  <si>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</si>
  <si>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</si>
  <si>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</si>
  <si>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</si>
  <si>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</si>
  <si>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</si>
  <si>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</si>
  <si>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</si>
  <si>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</si>
  <si>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</si>
  <si>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</si>
  <si>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</si>
  <si>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</si>
  <si>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</si>
  <si>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</si>
  <si>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</si>
  <si>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</si>
  <si>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</si>
  <si>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</si>
  <si>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</si>
  <si>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</si>
  <si>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</si>
  <si>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</si>
  <si>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</si>
  <si>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</si>
  <si>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</si>
  <si>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</si>
  <si>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</si>
  <si>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</si>
  <si>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</si>
  <si>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</si>
  <si>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</si>
  <si>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</si>
  <si>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</si>
  <si>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</si>
  <si>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</si>
  <si>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</si>
  <si>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</si>
  <si>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</si>
  <si>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</si>
  <si>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</si>
  <si>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</si>
  <si>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</si>
  <si>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</si>
  <si>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</si>
  <si>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</si>
  <si>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</si>
  <si>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</si>
  <si>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</si>
  <si>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</si>
  <si>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</si>
  <si>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</si>
  <si>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</si>
  <si>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</si>
  <si>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</si>
  <si>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</si>
  <si>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</si>
  <si>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</si>
  <si>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</si>
  <si>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</si>
  <si>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</si>
  <si>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</si>
  <si>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</si>
  <si>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</si>
  <si>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</si>
  <si>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</si>
  <si>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</si>
  <si>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</si>
  <si>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</si>
  <si>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</si>
  <si>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</si>
  <si>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</si>
  <si>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</si>
  <si>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</si>
  <si>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</si>
  <si>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</si>
  <si>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</si>
  <si>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</si>
  <si>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</si>
  <si>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</si>
  <si>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</si>
  <si>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</si>
  <si>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</si>
  <si>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</si>
  <si>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</si>
  <si>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</si>
  <si>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</si>
  <si>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</si>
  <si>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</si>
  <si>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</si>
  <si>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</si>
  <si>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</si>
  <si>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</si>
  <si>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</si>
  <si>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</si>
  <si>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</si>
  <si>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</si>
  <si>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</si>
  <si>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</si>
  <si>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</si>
  <si>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</si>
  <si>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</si>
  <si>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</si>
  <si>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</si>
  <si>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</si>
  <si>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</si>
  <si>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</si>
  <si>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</si>
  <si>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</si>
  <si>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</si>
  <si>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</si>
  <si>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</si>
  <si>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</si>
  <si>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</si>
  <si>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</si>
  <si>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</si>
  <si>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</si>
  <si>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</si>
  <si>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</si>
  <si>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</si>
  <si>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</si>
  <si>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</si>
  <si>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</si>
  <si>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</si>
  <si>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</si>
  <si>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</si>
  <si>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</si>
  <si>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</si>
  <si>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</si>
  <si>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</si>
  <si>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</si>
  <si>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</si>
  <si>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</si>
  <si>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</si>
  <si>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</si>
  <si>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</si>
  <si>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</si>
  <si>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</si>
  <si>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</si>
  <si>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</si>
  <si>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</si>
  <si>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</si>
  <si>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</si>
  <si>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</si>
  <si>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</si>
  <si>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32003</t>
  </si>
  <si>
    <t>DIKSMUIDE</t>
  </si>
  <si>
    <t>Eandis (januari 2018); Infrax (juni 2018)</t>
  </si>
  <si>
    <t>MOW (september 2017)</t>
  </si>
  <si>
    <t>referentietaak LNE (2017); Jaarverslag De Lijn (2016)</t>
  </si>
  <si>
    <t>VEA (april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</si>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</sst>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135432.60077237687</c:v>
                </c:pt>
                <c:pt idx="1">
                  <c:v>63281.191819123604</c:v>
                </c:pt>
                <c:pt idx="2">
                  <c:v>845.55600000000004</c:v>
                </c:pt>
                <c:pt idx="3">
                  <c:v>53472.368028114674</c:v>
                </c:pt>
                <c:pt idx="4">
                  <c:v>51691.455035567138</c:v>
                </c:pt>
                <c:pt idx="5">
                  <c:v>136125.14790841824</c:v>
                </c:pt>
                <c:pt idx="6">
                  <c:v>1970.5312204764043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135432.60077237687</c:v>
                </c:pt>
                <c:pt idx="1">
                  <c:v>63281.191819123604</c:v>
                </c:pt>
                <c:pt idx="2">
                  <c:v>845.55600000000004</c:v>
                </c:pt>
                <c:pt idx="3">
                  <c:v>53472.368028114674</c:v>
                </c:pt>
                <c:pt idx="4">
                  <c:v>51691.455035567138</c:v>
                </c:pt>
                <c:pt idx="5">
                  <c:v>136125.14790841824</c:v>
                </c:pt>
                <c:pt idx="6">
                  <c:v>1970.5312204764043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22150.700534781816</c:v>
                </c:pt>
                <c:pt idx="2">
                  <c:v>11160.549702829838</c:v>
                </c:pt>
                <c:pt idx="3">
                  <c:v>159.81672013983754</c:v>
                </c:pt>
                <c:pt idx="4">
                  <c:v>13492.023240299253</c:v>
                </c:pt>
                <c:pt idx="5">
                  <c:v>9829.9430551329788</c:v>
                </c:pt>
                <c:pt idx="6">
                  <c:v>34072.859644222619</c:v>
                </c:pt>
                <c:pt idx="7">
                  <c:v>497.85582294640318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22150.700534781816</c:v>
                </c:pt>
                <c:pt idx="2">
                  <c:v>11160.549702829838</c:v>
                </c:pt>
                <c:pt idx="3">
                  <c:v>159.81672013983754</c:v>
                </c:pt>
                <c:pt idx="4">
                  <c:v>13492.023240299253</c:v>
                </c:pt>
                <c:pt idx="5">
                  <c:v>9829.9430551329788</c:v>
                </c:pt>
                <c:pt idx="6">
                  <c:v>34072.859644222619</c:v>
                </c:pt>
                <c:pt idx="7">
                  <c:v>497.85582294640318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0.18900784825586658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0.18900784825586658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7072</v>
      </c>
      <c r="C9" s="342">
        <v>7181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12274.45</v>
      </c>
    </row>
    <row r="15" spans="1:6">
      <c r="A15" s="348" t="s">
        <v>184</v>
      </c>
      <c r="B15" s="334">
        <v>173</v>
      </c>
    </row>
    <row r="16" spans="1:6">
      <c r="A16" s="348" t="s">
        <v>6</v>
      </c>
      <c r="B16" s="334">
        <v>7246</v>
      </c>
    </row>
    <row r="17" spans="1:6">
      <c r="A17" s="348" t="s">
        <v>7</v>
      </c>
      <c r="B17" s="334">
        <v>3360</v>
      </c>
    </row>
    <row r="18" spans="1:6">
      <c r="A18" s="348" t="s">
        <v>8</v>
      </c>
      <c r="B18" s="334">
        <v>6112</v>
      </c>
    </row>
    <row r="19" spans="1:6">
      <c r="A19" s="348" t="s">
        <v>9</v>
      </c>
      <c r="B19" s="334">
        <v>6100</v>
      </c>
    </row>
    <row r="20" spans="1:6">
      <c r="A20" s="348" t="s">
        <v>10</v>
      </c>
      <c r="B20" s="334">
        <v>3906</v>
      </c>
    </row>
    <row r="21" spans="1:6">
      <c r="A21" s="348" t="s">
        <v>11</v>
      </c>
      <c r="B21" s="334">
        <v>58385</v>
      </c>
    </row>
    <row r="22" spans="1:6">
      <c r="A22" s="348" t="s">
        <v>12</v>
      </c>
      <c r="B22" s="334">
        <v>114288</v>
      </c>
    </row>
    <row r="23" spans="1:6">
      <c r="A23" s="348" t="s">
        <v>13</v>
      </c>
      <c r="B23" s="334">
        <v>1842</v>
      </c>
    </row>
    <row r="24" spans="1:6">
      <c r="A24" s="348" t="s">
        <v>14</v>
      </c>
      <c r="B24" s="334">
        <v>97</v>
      </c>
    </row>
    <row r="25" spans="1:6">
      <c r="A25" s="348" t="s">
        <v>15</v>
      </c>
      <c r="B25" s="334">
        <v>12318</v>
      </c>
    </row>
    <row r="26" spans="1:6">
      <c r="A26" s="348" t="s">
        <v>16</v>
      </c>
      <c r="B26" s="334">
        <v>1520</v>
      </c>
    </row>
    <row r="27" spans="1:6">
      <c r="A27" s="348" t="s">
        <v>17</v>
      </c>
      <c r="B27" s="334">
        <v>17</v>
      </c>
    </row>
    <row r="28" spans="1:6" s="356" customFormat="1">
      <c r="A28" s="355" t="s">
        <v>18</v>
      </c>
      <c r="B28" s="355">
        <v>408082</v>
      </c>
    </row>
    <row r="29" spans="1:6">
      <c r="A29" s="355" t="s">
        <v>744</v>
      </c>
      <c r="B29" s="355">
        <v>156</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74075</v>
      </c>
    </row>
    <row r="37" spans="1:6">
      <c r="A37" s="348" t="s">
        <v>25</v>
      </c>
      <c r="B37" s="348" t="s">
        <v>28</v>
      </c>
      <c r="C37" s="334">
        <v>0</v>
      </c>
      <c r="D37" s="334">
        <v>0</v>
      </c>
      <c r="E37" s="334">
        <v>0</v>
      </c>
      <c r="F37" s="334">
        <v>0</v>
      </c>
    </row>
    <row r="38" spans="1:6">
      <c r="A38" s="348" t="s">
        <v>25</v>
      </c>
      <c r="B38" s="348" t="s">
        <v>29</v>
      </c>
      <c r="C38" s="334">
        <v>1</v>
      </c>
      <c r="D38" s="334">
        <v>1143587.3330000001</v>
      </c>
      <c r="E38" s="334">
        <v>0</v>
      </c>
      <c r="F38" s="334">
        <v>0</v>
      </c>
    </row>
    <row r="39" spans="1:6">
      <c r="A39" s="348" t="s">
        <v>30</v>
      </c>
      <c r="B39" s="348" t="s">
        <v>31</v>
      </c>
      <c r="C39" s="334">
        <v>4364</v>
      </c>
      <c r="D39" s="334">
        <v>59162528.549999997</v>
      </c>
      <c r="E39" s="334">
        <v>6586</v>
      </c>
      <c r="F39" s="334">
        <v>23014166.966304604</v>
      </c>
    </row>
    <row r="40" spans="1:6">
      <c r="A40" s="348" t="s">
        <v>30</v>
      </c>
      <c r="B40" s="348" t="s">
        <v>29</v>
      </c>
      <c r="C40" s="334">
        <v>0</v>
      </c>
      <c r="D40" s="334">
        <v>0</v>
      </c>
      <c r="E40" s="334">
        <v>0</v>
      </c>
      <c r="F40" s="334">
        <v>0</v>
      </c>
    </row>
    <row r="41" spans="1:6">
      <c r="A41" s="348" t="s">
        <v>32</v>
      </c>
      <c r="B41" s="348" t="s">
        <v>33</v>
      </c>
      <c r="C41" s="334">
        <v>105</v>
      </c>
      <c r="D41" s="334">
        <v>5032657.2719999999</v>
      </c>
      <c r="E41" s="334">
        <v>252</v>
      </c>
      <c r="F41" s="334">
        <v>13117662.501</v>
      </c>
    </row>
    <row r="42" spans="1:6">
      <c r="A42" s="348" t="s">
        <v>32</v>
      </c>
      <c r="B42" s="348" t="s">
        <v>34</v>
      </c>
      <c r="C42" s="334">
        <v>0</v>
      </c>
      <c r="D42" s="334">
        <v>0</v>
      </c>
      <c r="E42" s="334">
        <v>3</v>
      </c>
      <c r="F42" s="334">
        <v>178138</v>
      </c>
    </row>
    <row r="43" spans="1:6">
      <c r="A43" s="348" t="s">
        <v>32</v>
      </c>
      <c r="B43" s="348" t="s">
        <v>35</v>
      </c>
      <c r="C43" s="334">
        <v>0</v>
      </c>
      <c r="D43" s="334">
        <v>0</v>
      </c>
      <c r="E43" s="334">
        <v>0</v>
      </c>
      <c r="F43" s="334">
        <v>0</v>
      </c>
    </row>
    <row r="44" spans="1:6">
      <c r="A44" s="348" t="s">
        <v>32</v>
      </c>
      <c r="B44" s="348" t="s">
        <v>36</v>
      </c>
      <c r="C44" s="334">
        <v>22</v>
      </c>
      <c r="D44" s="334">
        <v>1975503</v>
      </c>
      <c r="E44" s="334">
        <v>57</v>
      </c>
      <c r="F44" s="334">
        <v>4137543.3220000002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220038</v>
      </c>
      <c r="E47" s="334">
        <v>5</v>
      </c>
      <c r="F47" s="334">
        <v>301417</v>
      </c>
    </row>
    <row r="48" spans="1:6">
      <c r="A48" s="348" t="s">
        <v>32</v>
      </c>
      <c r="B48" s="348" t="s">
        <v>29</v>
      </c>
      <c r="C48" s="334">
        <v>2</v>
      </c>
      <c r="D48" s="334">
        <v>187414</v>
      </c>
      <c r="E48" s="334">
        <v>3</v>
      </c>
      <c r="F48" s="334">
        <v>324036</v>
      </c>
    </row>
    <row r="49" spans="1:6">
      <c r="A49" s="348" t="s">
        <v>32</v>
      </c>
      <c r="B49" s="348" t="s">
        <v>40</v>
      </c>
      <c r="C49" s="334">
        <v>0</v>
      </c>
      <c r="D49" s="334">
        <v>0</v>
      </c>
      <c r="E49" s="334">
        <v>0</v>
      </c>
      <c r="F49" s="334">
        <v>0</v>
      </c>
    </row>
    <row r="50" spans="1:6">
      <c r="A50" s="348" t="s">
        <v>32</v>
      </c>
      <c r="B50" s="348" t="s">
        <v>41</v>
      </c>
      <c r="C50" s="334">
        <v>18</v>
      </c>
      <c r="D50" s="334">
        <v>1357422.55</v>
      </c>
      <c r="E50" s="334">
        <v>38</v>
      </c>
      <c r="F50" s="334">
        <v>4827909.7170000002</v>
      </c>
    </row>
    <row r="51" spans="1:6">
      <c r="A51" s="348" t="s">
        <v>42</v>
      </c>
      <c r="B51" s="348" t="s">
        <v>43</v>
      </c>
      <c r="C51" s="334">
        <v>40</v>
      </c>
      <c r="D51" s="334">
        <v>1062655</v>
      </c>
      <c r="E51" s="334">
        <v>386</v>
      </c>
      <c r="F51" s="334">
        <v>9751462.9480000008</v>
      </c>
    </row>
    <row r="52" spans="1:6">
      <c r="A52" s="348" t="s">
        <v>42</v>
      </c>
      <c r="B52" s="348" t="s">
        <v>29</v>
      </c>
      <c r="C52" s="334">
        <v>0</v>
      </c>
      <c r="D52" s="334">
        <v>0</v>
      </c>
      <c r="E52" s="334">
        <v>1</v>
      </c>
      <c r="F52" s="334">
        <v>31992.7594118743</v>
      </c>
    </row>
    <row r="53" spans="1:6">
      <c r="A53" s="348" t="s">
        <v>44</v>
      </c>
      <c r="B53" s="348" t="s">
        <v>45</v>
      </c>
      <c r="C53" s="334">
        <v>85</v>
      </c>
      <c r="D53" s="334">
        <v>4002106.0950000002</v>
      </c>
      <c r="E53" s="334">
        <v>159</v>
      </c>
      <c r="F53" s="334">
        <v>787726.55</v>
      </c>
    </row>
    <row r="54" spans="1:6">
      <c r="A54" s="348" t="s">
        <v>46</v>
      </c>
      <c r="B54" s="348" t="s">
        <v>47</v>
      </c>
      <c r="C54" s="334">
        <v>0</v>
      </c>
      <c r="D54" s="334">
        <v>0</v>
      </c>
      <c r="E54" s="334">
        <v>1</v>
      </c>
      <c r="F54" s="334">
        <v>845556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3990614.3670000001</v>
      </c>
      <c r="E57" s="334">
        <v>120</v>
      </c>
      <c r="F57" s="334">
        <v>9438354.3230000008</v>
      </c>
    </row>
    <row r="58" spans="1:6">
      <c r="A58" s="348" t="s">
        <v>49</v>
      </c>
      <c r="B58" s="348" t="s">
        <v>51</v>
      </c>
      <c r="C58" s="334">
        <v>53</v>
      </c>
      <c r="D58" s="334">
        <v>2116460.5499999998</v>
      </c>
      <c r="E58" s="334">
        <v>69</v>
      </c>
      <c r="F58" s="334">
        <v>1581351.274</v>
      </c>
    </row>
    <row r="59" spans="1:6">
      <c r="A59" s="348" t="s">
        <v>49</v>
      </c>
      <c r="B59" s="348" t="s">
        <v>52</v>
      </c>
      <c r="C59" s="334">
        <v>188</v>
      </c>
      <c r="D59" s="334">
        <v>5538383.5499999998</v>
      </c>
      <c r="E59" s="334">
        <v>360</v>
      </c>
      <c r="F59" s="334">
        <v>9161605.534</v>
      </c>
    </row>
    <row r="60" spans="1:6">
      <c r="A60" s="348" t="s">
        <v>49</v>
      </c>
      <c r="B60" s="348" t="s">
        <v>53</v>
      </c>
      <c r="C60" s="334">
        <v>70</v>
      </c>
      <c r="D60" s="334">
        <v>3492995</v>
      </c>
      <c r="E60" s="334">
        <v>105</v>
      </c>
      <c r="F60" s="334">
        <v>2439589.5079999999</v>
      </c>
    </row>
    <row r="61" spans="1:6">
      <c r="A61" s="348" t="s">
        <v>49</v>
      </c>
      <c r="B61" s="348" t="s">
        <v>54</v>
      </c>
      <c r="C61" s="334">
        <v>168</v>
      </c>
      <c r="D61" s="334">
        <v>7273458.5499999998</v>
      </c>
      <c r="E61" s="334">
        <v>375</v>
      </c>
      <c r="F61" s="334">
        <v>4538981.477</v>
      </c>
    </row>
    <row r="62" spans="1:6">
      <c r="A62" s="348" t="s">
        <v>49</v>
      </c>
      <c r="B62" s="348" t="s">
        <v>55</v>
      </c>
      <c r="C62" s="334">
        <v>10</v>
      </c>
      <c r="D62" s="334">
        <v>887932</v>
      </c>
      <c r="E62" s="334">
        <v>27</v>
      </c>
      <c r="F62" s="334">
        <v>994701.23100000003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23031</v>
      </c>
      <c r="E65" s="334">
        <v>0</v>
      </c>
      <c r="F65" s="334">
        <v>0</v>
      </c>
    </row>
    <row r="66" spans="1:6">
      <c r="A66" s="348" t="s">
        <v>56</v>
      </c>
      <c r="B66" s="348" t="s">
        <v>58</v>
      </c>
      <c r="C66" s="334">
        <v>0</v>
      </c>
      <c r="D66" s="334">
        <v>0</v>
      </c>
      <c r="E66" s="334">
        <v>24</v>
      </c>
      <c r="F66" s="334">
        <v>50562.603000000003</v>
      </c>
    </row>
    <row r="67" spans="1:6">
      <c r="A67" s="355" t="s">
        <v>56</v>
      </c>
      <c r="B67" s="355" t="s">
        <v>59</v>
      </c>
      <c r="C67" s="334">
        <v>0</v>
      </c>
      <c r="D67" s="334">
        <v>0</v>
      </c>
      <c r="E67" s="334">
        <v>0</v>
      </c>
      <c r="F67" s="334">
        <v>0</v>
      </c>
    </row>
    <row r="68" spans="1:6">
      <c r="A68" s="341" t="s">
        <v>56</v>
      </c>
      <c r="B68" s="341" t="s">
        <v>60</v>
      </c>
      <c r="C68" s="334">
        <v>11</v>
      </c>
      <c r="D68" s="334">
        <v>282786</v>
      </c>
      <c r="E68" s="334">
        <v>26</v>
      </c>
      <c r="F68" s="334">
        <v>492584.34299999999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131467925</v>
      </c>
      <c r="E73" s="475">
        <v>135485807.81049928</v>
      </c>
    </row>
    <row r="74" spans="1:6">
      <c r="A74" s="348" t="s">
        <v>64</v>
      </c>
      <c r="B74" s="348" t="s">
        <v>657</v>
      </c>
      <c r="C74" s="1295" t="s">
        <v>659</v>
      </c>
      <c r="D74" s="475">
        <v>13147773.5</v>
      </c>
      <c r="E74" s="475">
        <v>12984598.960014697</v>
      </c>
    </row>
    <row r="75" spans="1:6">
      <c r="A75" s="348" t="s">
        <v>65</v>
      </c>
      <c r="B75" s="348" t="s">
        <v>656</v>
      </c>
      <c r="C75" s="1295" t="s">
        <v>660</v>
      </c>
      <c r="D75" s="475">
        <v>22722770</v>
      </c>
      <c r="E75" s="475">
        <v>24100944.661640592</v>
      </c>
    </row>
    <row r="76" spans="1:6">
      <c r="A76" s="348" t="s">
        <v>65</v>
      </c>
      <c r="B76" s="348" t="s">
        <v>657</v>
      </c>
      <c r="C76" s="1295" t="s">
        <v>661</v>
      </c>
      <c r="D76" s="475">
        <v>660159.5</v>
      </c>
      <c r="E76" s="475">
        <v>665465.54947109765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534441</v>
      </c>
      <c r="C83" s="475">
        <v>533993.85480109043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2755.9170004074117</v>
      </c>
    </row>
    <row r="91" spans="1:6">
      <c r="A91" s="348" t="s">
        <v>68</v>
      </c>
      <c r="B91" s="334">
        <v>3951.8359501702776</v>
      </c>
    </row>
    <row r="92" spans="1:6">
      <c r="A92" s="341" t="s">
        <v>69</v>
      </c>
      <c r="B92" s="342">
        <v>4357.4784402541391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89484.690191206115</v>
      </c>
      <c r="C3" s="43" t="s">
        <v>170</v>
      </c>
      <c r="D3" s="43"/>
      <c r="E3" s="154"/>
      <c r="F3" s="43"/>
      <c r="G3" s="43"/>
      <c r="H3" s="43"/>
      <c r="I3" s="43"/>
      <c r="J3" s="43"/>
      <c r="K3" s="96"/>
    </row>
    <row r="4" spans="1:11">
      <c r="A4" s="383" t="s">
        <v>171</v>
      </c>
      <c r="B4" s="49">
        <f>IF(ISERROR('SEAP template'!B78+'SEAP template'!C78),0,'SEAP template'!B78+'SEAP template'!C78)</f>
        <v>12953.881390831828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0.18900784825586658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845.55600000000004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845.55600000000004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0.18900784825586658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159.81672013983754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23014.166966304605</v>
      </c>
      <c r="C5" s="17">
        <f>IF(ISERROR('Eigen informatie GS &amp; warmtenet'!B57),0,'Eigen informatie GS &amp; warmtenet'!B57)</f>
        <v>0</v>
      </c>
      <c r="D5" s="30">
        <f>(SUM(HH_hh_gas_kWh,HH_rest_gas_kWh)/1000)*0.902</f>
        <v>53364.600752099999</v>
      </c>
      <c r="E5" s="17">
        <f>B46*B57</f>
        <v>10376.185128314681</v>
      </c>
      <c r="F5" s="17">
        <f>B51*B62</f>
        <v>9922.9802696845509</v>
      </c>
      <c r="G5" s="18"/>
      <c r="H5" s="17"/>
      <c r="I5" s="17"/>
      <c r="J5" s="17">
        <f>B50*B61+C50*C61</f>
        <v>3585.9752525990561</v>
      </c>
      <c r="K5" s="17"/>
      <c r="L5" s="17"/>
      <c r="M5" s="17"/>
      <c r="N5" s="17">
        <f>B48*B59+C48*C59</f>
        <v>30214.969786537004</v>
      </c>
      <c r="O5" s="17">
        <f>B69*B70*B71</f>
        <v>334.55333333333334</v>
      </c>
      <c r="P5" s="17">
        <f>B77*B78*B79/1000-B77*B78*B79/1000/B80</f>
        <v>667.33333333333337</v>
      </c>
    </row>
    <row r="6" spans="1:16">
      <c r="A6" s="16" t="s">
        <v>621</v>
      </c>
      <c r="B6" s="788">
        <f>kWh_PV_kleiner_dan_10kW</f>
        <v>3951.8359501702776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26966.002916474881</v>
      </c>
      <c r="C8" s="21">
        <f>C5</f>
        <v>0</v>
      </c>
      <c r="D8" s="21">
        <f>D5</f>
        <v>53364.600752099999</v>
      </c>
      <c r="E8" s="21">
        <f>E5</f>
        <v>10376.185128314681</v>
      </c>
      <c r="F8" s="21">
        <f>F5</f>
        <v>9922.9802696845509</v>
      </c>
      <c r="G8" s="21"/>
      <c r="H8" s="21"/>
      <c r="I8" s="21"/>
      <c r="J8" s="21">
        <f>J5</f>
        <v>3585.9752525990561</v>
      </c>
      <c r="K8" s="21"/>
      <c r="L8" s="21">
        <f>L5</f>
        <v>0</v>
      </c>
      <c r="M8" s="21">
        <f>M5</f>
        <v>0</v>
      </c>
      <c r="N8" s="21">
        <f>N5</f>
        <v>30214.969786537004</v>
      </c>
      <c r="O8" s="21">
        <f>O5</f>
        <v>334.55333333333334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0.18900784825586658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5096.7861873043403</v>
      </c>
      <c r="C12" s="23">
        <f ca="1">C10*C8</f>
        <v>0</v>
      </c>
      <c r="D12" s="23">
        <f>D8*D10</f>
        <v>10779.649351924201</v>
      </c>
      <c r="E12" s="23">
        <f>E10*E8</f>
        <v>2355.3940241274327</v>
      </c>
      <c r="F12" s="23">
        <f>F10*F8</f>
        <v>2649.4357320057752</v>
      </c>
      <c r="G12" s="23"/>
      <c r="H12" s="23"/>
      <c r="I12" s="23"/>
      <c r="J12" s="23">
        <f>J10*J8</f>
        <v>1269.4352394200657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793</v>
      </c>
      <c r="B28" s="37">
        <f>aantalHuishoudens2011</f>
        <v>7072</v>
      </c>
      <c r="C28" s="36"/>
      <c r="D28" s="228"/>
    </row>
    <row r="29" spans="1:7" s="15" customFormat="1">
      <c r="A29" s="230" t="s">
        <v>794</v>
      </c>
      <c r="B29" s="37">
        <f>SUM(HH_hh_gas_aantal,HH_rest_gas_aantal)</f>
        <v>4364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4364</v>
      </c>
      <c r="C32" s="167">
        <f>IF(ISERROR(B32/SUM($B$32,$B$34,$B$35,$B$36,$B$38,$B$39)*100),0,B32/SUM($B$32,$B$34,$B$35,$B$36,$B$38,$B$39)*100)</f>
        <v>62.015063237174928</v>
      </c>
      <c r="D32" s="233"/>
      <c r="G32" s="15"/>
    </row>
    <row r="33" spans="1:7">
      <c r="A33" s="171" t="s">
        <v>72</v>
      </c>
      <c r="B33" s="34" t="s">
        <v>111</v>
      </c>
      <c r="C33" s="167"/>
      <c r="D33" s="233"/>
      <c r="G33" s="15"/>
    </row>
    <row r="34" spans="1:7">
      <c r="A34" s="171" t="s">
        <v>73</v>
      </c>
      <c r="B34" s="33">
        <f>IF((($B$28-$B$32-$B$39-$B$77-$B$38)*C20/100)&lt;0,0,($B$28-$B$32-$B$39-$B$77-$B$38)*C20/100)</f>
        <v>490.05678233438482</v>
      </c>
      <c r="C34" s="167">
        <f>IF(ISERROR(B34/SUM($B$32,$B$34,$B$35,$B$36,$B$38,$B$39)*100),0,B34/SUM($B$32,$B$34,$B$35,$B$36,$B$38,$B$39)*100)</f>
        <v>6.9640014542331219</v>
      </c>
      <c r="D34" s="233"/>
      <c r="G34" s="15"/>
    </row>
    <row r="35" spans="1:7">
      <c r="A35" s="171" t="s">
        <v>74</v>
      </c>
      <c r="B35" s="33">
        <f>IF((($B$28-$B$32-$B$39-$B$77-$B$38)*C21/100)&lt;0,0,($B$28-$B$32-$B$39-$B$77-$B$38)*C21/100)</f>
        <v>1279.2092534174556</v>
      </c>
      <c r="C35" s="167">
        <f>IF(ISERROR(B35/SUM($B$32,$B$34,$B$35,$B$36,$B$38,$B$39)*100),0,B35/SUM($B$32,$B$34,$B$35,$B$36,$B$38,$B$39)*100)</f>
        <v>18.178332434524023</v>
      </c>
      <c r="D35" s="233"/>
      <c r="G35" s="15"/>
    </row>
    <row r="36" spans="1:7">
      <c r="A36" s="171" t="s">
        <v>75</v>
      </c>
      <c r="B36" s="33">
        <f>IF((($B$28-$B$32-$B$39-$B$77-$B$38)*C22/100)&lt;0,0,($B$28-$B$32-$B$39-$B$77-$B$38)*C22/100)</f>
        <v>418.73396424815991</v>
      </c>
      <c r="C36" s="167">
        <f>IF(ISERROR(B36/SUM($B$32,$B$34,$B$35,$B$36,$B$38,$B$39)*100),0,B36/SUM($B$32,$B$34,$B$35,$B$36,$B$38,$B$39)*100)</f>
        <v>5.9504613364808856</v>
      </c>
      <c r="D36" s="233"/>
      <c r="G36" s="15"/>
    </row>
    <row r="37" spans="1:7">
      <c r="A37" s="171" t="s">
        <v>76</v>
      </c>
      <c r="B37" s="34" t="s">
        <v>111</v>
      </c>
      <c r="C37" s="167"/>
      <c r="D37" s="173"/>
      <c r="G37" s="15"/>
    </row>
    <row r="38" spans="1:7">
      <c r="A38" s="171" t="s">
        <v>77</v>
      </c>
      <c r="B38" s="33">
        <f>IF((B24-(B29-B18)*0.1)&lt;0,0,B24-(B29-B18)*0.1)</f>
        <v>101.69999999999999</v>
      </c>
      <c r="C38" s="167">
        <f>IF(ISERROR(B38/SUM($B$32,$B$34,$B$35,$B$36,$B$38,$B$39)*100),0,B38/SUM($B$32,$B$34,$B$35,$B$36,$B$38,$B$39)*100)</f>
        <v>1.4452181327270142</v>
      </c>
      <c r="D38" s="234"/>
      <c r="G38" s="15"/>
    </row>
    <row r="39" spans="1:7">
      <c r="A39" s="171" t="s">
        <v>78</v>
      </c>
      <c r="B39" s="33">
        <f>IF((B25-(B29-B18))&lt;0,0,B25-(B29-B18)*0.9)</f>
        <v>383.29999999999995</v>
      </c>
      <c r="C39" s="167">
        <f>IF(ISERROR(B39/SUM($B$32,$B$34,$B$35,$B$36,$B$38,$B$39)*100),0,B39/SUM($B$32,$B$34,$B$35,$B$36,$B$38,$B$39)*100)</f>
        <v>5.4469234048600246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4364</v>
      </c>
      <c r="C44" s="34" t="s">
        <v>111</v>
      </c>
      <c r="D44" s="174"/>
    </row>
    <row r="45" spans="1:7">
      <c r="A45" s="171" t="s">
        <v>72</v>
      </c>
      <c r="B45" s="33" t="str">
        <f t="shared" si="0"/>
        <v>-</v>
      </c>
      <c r="C45" s="34" t="s">
        <v>111</v>
      </c>
      <c r="D45" s="174"/>
    </row>
    <row r="46" spans="1:7">
      <c r="A46" s="171" t="s">
        <v>73</v>
      </c>
      <c r="B46" s="33">
        <f t="shared" si="0"/>
        <v>490.05678233438482</v>
      </c>
      <c r="C46" s="34" t="s">
        <v>111</v>
      </c>
      <c r="D46" s="174"/>
    </row>
    <row r="47" spans="1:7">
      <c r="A47" s="171" t="s">
        <v>74</v>
      </c>
      <c r="B47" s="33">
        <f t="shared" si="0"/>
        <v>1279.2092534174556</v>
      </c>
      <c r="C47" s="34" t="s">
        <v>111</v>
      </c>
      <c r="D47" s="174"/>
    </row>
    <row r="48" spans="1:7">
      <c r="A48" s="171" t="s">
        <v>75</v>
      </c>
      <c r="B48" s="33">
        <f t="shared" si="0"/>
        <v>418.73396424815991</v>
      </c>
      <c r="C48" s="33">
        <f>B48*10</f>
        <v>4187.3396424815992</v>
      </c>
      <c r="D48" s="234"/>
    </row>
    <row r="49" spans="1:6">
      <c r="A49" s="171" t="s">
        <v>76</v>
      </c>
      <c r="B49" s="33" t="str">
        <f t="shared" si="0"/>
        <v>-</v>
      </c>
      <c r="C49" s="34" t="s">
        <v>111</v>
      </c>
      <c r="D49" s="234"/>
    </row>
    <row r="50" spans="1:6">
      <c r="A50" s="171" t="s">
        <v>77</v>
      </c>
      <c r="B50" s="33">
        <f t="shared" si="0"/>
        <v>101.69999999999999</v>
      </c>
      <c r="C50" s="33">
        <f>B50*2</f>
        <v>203.39999999999998</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28154.583347</v>
      </c>
      <c r="C5" s="17">
        <f>IF(ISERROR('Eigen informatie GS &amp; warmtenet'!B58),0,'Eigen informatie GS &amp; warmtenet'!B58)</f>
        <v>0</v>
      </c>
      <c r="D5" s="30">
        <f>SUM(D6:D12)</f>
        <v>21016.459303333999</v>
      </c>
      <c r="E5" s="17">
        <f>SUM(E6:E12)</f>
        <v>393.61089592548694</v>
      </c>
      <c r="F5" s="17">
        <f>SUM(F6:F12)</f>
        <v>5634.3277504097377</v>
      </c>
      <c r="G5" s="18"/>
      <c r="H5" s="17"/>
      <c r="I5" s="17"/>
      <c r="J5" s="17">
        <f>SUM(J6:J12)</f>
        <v>0.20486967502495257</v>
      </c>
      <c r="K5" s="17"/>
      <c r="L5" s="17"/>
      <c r="M5" s="17"/>
      <c r="N5" s="17">
        <f>SUM(N6:N12)</f>
        <v>8059.812319446024</v>
      </c>
      <c r="O5" s="17">
        <f>B38*B39*B40</f>
        <v>3.1266666666666669</v>
      </c>
      <c r="P5" s="17">
        <f>B46*B47*B48/1000-B46*B47*B48/1000/B49</f>
        <v>19.066666666666666</v>
      </c>
      <c r="R5" s="32"/>
    </row>
    <row r="6" spans="1:18">
      <c r="A6" s="32" t="s">
        <v>54</v>
      </c>
      <c r="B6" s="37">
        <f>B26</f>
        <v>4538.9814770000003</v>
      </c>
      <c r="C6" s="33"/>
      <c r="D6" s="37">
        <f>IF(ISERROR(TER_kantoor_gas_kWh/1000),0,TER_kantoor_gas_kWh/1000)*0.902</f>
        <v>6560.6596120999993</v>
      </c>
      <c r="E6" s="33">
        <f>$C$26*'E Balans VL '!I12/100/3.6*1000000</f>
        <v>2.8448826256247419E-2</v>
      </c>
      <c r="F6" s="33">
        <f>$C$26*('E Balans VL '!L12+'E Balans VL '!N12)/100/3.6*1000000</f>
        <v>682.08208475426022</v>
      </c>
      <c r="G6" s="34"/>
      <c r="H6" s="33"/>
      <c r="I6" s="33"/>
      <c r="J6" s="33">
        <f>$C$26*('E Balans VL '!D12+'E Balans VL '!E12)/100/3.6*1000000</f>
        <v>0</v>
      </c>
      <c r="K6" s="33"/>
      <c r="L6" s="33"/>
      <c r="M6" s="33"/>
      <c r="N6" s="33">
        <f>$C$26*'E Balans VL '!Y12/100/3.6*1000000</f>
        <v>4.3408628048911417</v>
      </c>
      <c r="O6" s="33"/>
      <c r="P6" s="33"/>
      <c r="R6" s="32"/>
    </row>
    <row r="7" spans="1:18">
      <c r="A7" s="32" t="s">
        <v>53</v>
      </c>
      <c r="B7" s="37">
        <f t="shared" ref="B7:B12" si="0">B27</f>
        <v>2439.589508</v>
      </c>
      <c r="C7" s="33"/>
      <c r="D7" s="37">
        <f>IF(ISERROR(TER_horeca_gas_kWh/1000),0,TER_horeca_gas_kWh/1000)*0.902</f>
        <v>3150.6814899999999</v>
      </c>
      <c r="E7" s="33">
        <f>$C$27*'E Balans VL '!I9/100/3.6*1000000</f>
        <v>34.934515396520943</v>
      </c>
      <c r="F7" s="33">
        <f>$C$27*('E Balans VL '!L9+'E Balans VL '!N9)/100/3.6*1000000</f>
        <v>308.9324924745942</v>
      </c>
      <c r="G7" s="34"/>
      <c r="H7" s="33"/>
      <c r="I7" s="33"/>
      <c r="J7" s="33">
        <f>$C$27*('E Balans VL '!D9+'E Balans VL '!E9)/100/3.6*1000000</f>
        <v>0</v>
      </c>
      <c r="K7" s="33"/>
      <c r="L7" s="33"/>
      <c r="M7" s="33"/>
      <c r="N7" s="33">
        <f>$C$27*'E Balans VL '!Y9/100/3.6*1000000</f>
        <v>0.70132819521852086</v>
      </c>
      <c r="O7" s="33"/>
      <c r="P7" s="33"/>
      <c r="R7" s="32"/>
    </row>
    <row r="8" spans="1:18">
      <c r="A8" s="6" t="s">
        <v>52</v>
      </c>
      <c r="B8" s="37">
        <f t="shared" si="0"/>
        <v>9161.6055340000003</v>
      </c>
      <c r="C8" s="33"/>
      <c r="D8" s="37">
        <f>IF(ISERROR(TER_handel_gas_kWh/1000),0,TER_handel_gas_kWh/1000)*0.902</f>
        <v>4995.6219621</v>
      </c>
      <c r="E8" s="33">
        <f>$C$28*'E Balans VL '!I13/100/3.6*1000000</f>
        <v>332.29030295960058</v>
      </c>
      <c r="F8" s="33">
        <f>$C$28*('E Balans VL '!L13+'E Balans VL '!N13)/100/3.6*1000000</f>
        <v>1764.6179930023839</v>
      </c>
      <c r="G8" s="34"/>
      <c r="H8" s="33"/>
      <c r="I8" s="33"/>
      <c r="J8" s="33">
        <f>$C$28*('E Balans VL '!D13+'E Balans VL '!E13)/100/3.6*1000000</f>
        <v>0</v>
      </c>
      <c r="K8" s="33"/>
      <c r="L8" s="33"/>
      <c r="M8" s="33"/>
      <c r="N8" s="33">
        <f>$C$28*'E Balans VL '!Y13/100/3.6*1000000</f>
        <v>12.690931656009775</v>
      </c>
      <c r="O8" s="33"/>
      <c r="P8" s="33"/>
      <c r="R8" s="32"/>
    </row>
    <row r="9" spans="1:18">
      <c r="A9" s="32" t="s">
        <v>51</v>
      </c>
      <c r="B9" s="37">
        <f t="shared" si="0"/>
        <v>1581.3512739999999</v>
      </c>
      <c r="C9" s="33"/>
      <c r="D9" s="37">
        <f>IF(ISERROR(TER_gezond_gas_kWh/1000),0,TER_gezond_gas_kWh/1000)*0.902</f>
        <v>1909.0474161</v>
      </c>
      <c r="E9" s="33">
        <f>$C$29*'E Balans VL '!I10/100/3.6*1000000</f>
        <v>9.9008202775575024E-2</v>
      </c>
      <c r="F9" s="33">
        <f>$C$29*('E Balans VL '!L10+'E Balans VL '!N10)/100/3.6*1000000</f>
        <v>234.91454650879624</v>
      </c>
      <c r="G9" s="34"/>
      <c r="H9" s="33"/>
      <c r="I9" s="33"/>
      <c r="J9" s="33">
        <f>$C$29*('E Balans VL '!D10+'E Balans VL '!E10)/100/3.6*1000000</f>
        <v>0</v>
      </c>
      <c r="K9" s="33"/>
      <c r="L9" s="33"/>
      <c r="M9" s="33"/>
      <c r="N9" s="33">
        <f>$C$29*'E Balans VL '!Y10/100/3.6*1000000</f>
        <v>24.460494093586746</v>
      </c>
      <c r="O9" s="33"/>
      <c r="P9" s="33"/>
      <c r="R9" s="32"/>
    </row>
    <row r="10" spans="1:18">
      <c r="A10" s="32" t="s">
        <v>50</v>
      </c>
      <c r="B10" s="37">
        <f t="shared" si="0"/>
        <v>9438.3543230000014</v>
      </c>
      <c r="C10" s="33"/>
      <c r="D10" s="37">
        <f>IF(ISERROR(TER_ander_gas_kWh/1000),0,TER_ander_gas_kWh/1000)*0.902</f>
        <v>3599.5341590340004</v>
      </c>
      <c r="E10" s="33">
        <f>$C$30*'E Balans VL '!I14/100/3.6*1000000</f>
        <v>11.250181083221079</v>
      </c>
      <c r="F10" s="33">
        <f>$C$30*('E Balans VL '!L14+'E Balans VL '!N14)/100/3.6*1000000</f>
        <v>2469.493087173591</v>
      </c>
      <c r="G10" s="34"/>
      <c r="H10" s="33"/>
      <c r="I10" s="33"/>
      <c r="J10" s="33">
        <f>$C$30*('E Balans VL '!D14+'E Balans VL '!E14)/100/3.6*1000000</f>
        <v>0.20486967502495257</v>
      </c>
      <c r="K10" s="33"/>
      <c r="L10" s="33"/>
      <c r="M10" s="33"/>
      <c r="N10" s="33">
        <f>$C$30*'E Balans VL '!Y14/100/3.6*1000000</f>
        <v>8014.8195378122164</v>
      </c>
      <c r="O10" s="33"/>
      <c r="P10" s="33"/>
      <c r="R10" s="32"/>
    </row>
    <row r="11" spans="1:18">
      <c r="A11" s="32" t="s">
        <v>55</v>
      </c>
      <c r="B11" s="37">
        <f t="shared" si="0"/>
        <v>994.70123100000001</v>
      </c>
      <c r="C11" s="33"/>
      <c r="D11" s="37">
        <f>IF(ISERROR(TER_onderwijs_gas_kWh/1000),0,TER_onderwijs_gas_kWh/1000)*0.902</f>
        <v>800.91466400000002</v>
      </c>
      <c r="E11" s="33">
        <f>$C$31*'E Balans VL '!I11/100/3.6*1000000</f>
        <v>15.008439457112498</v>
      </c>
      <c r="F11" s="33">
        <f>$C$31*('E Balans VL '!L11+'E Balans VL '!N11)/100/3.6*1000000</f>
        <v>174.28754649611193</v>
      </c>
      <c r="G11" s="34"/>
      <c r="H11" s="33"/>
      <c r="I11" s="33"/>
      <c r="J11" s="33">
        <f>$C$31*('E Balans VL '!D11+'E Balans VL '!E11)/100/3.6*1000000</f>
        <v>0</v>
      </c>
      <c r="K11" s="33"/>
      <c r="L11" s="33"/>
      <c r="M11" s="33"/>
      <c r="N11" s="33">
        <f>$C$31*'E Balans VL '!Y11/100/3.6*1000000</f>
        <v>2.7991648841013341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28154.583347</v>
      </c>
      <c r="C16" s="21">
        <f t="shared" ca="1" si="1"/>
        <v>0</v>
      </c>
      <c r="D16" s="21">
        <f t="shared" ca="1" si="1"/>
        <v>21016.459303333999</v>
      </c>
      <c r="E16" s="21">
        <f t="shared" si="1"/>
        <v>393.61089592548694</v>
      </c>
      <c r="F16" s="21">
        <f t="shared" ca="1" si="1"/>
        <v>5634.3277504097377</v>
      </c>
      <c r="G16" s="21">
        <f t="shared" si="1"/>
        <v>0</v>
      </c>
      <c r="H16" s="21">
        <f t="shared" si="1"/>
        <v>0</v>
      </c>
      <c r="I16" s="21">
        <f t="shared" si="1"/>
        <v>0</v>
      </c>
      <c r="J16" s="21">
        <f t="shared" si="1"/>
        <v>0.20486967502495257</v>
      </c>
      <c r="K16" s="21">
        <f t="shared" si="1"/>
        <v>0</v>
      </c>
      <c r="L16" s="21">
        <f t="shared" ca="1" si="1"/>
        <v>0</v>
      </c>
      <c r="M16" s="21">
        <f t="shared" si="1"/>
        <v>0</v>
      </c>
      <c r="N16" s="21">
        <f t="shared" ca="1" si="1"/>
        <v>8059.812319446024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0.18900784825586658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5321.4372169569242</v>
      </c>
      <c r="C20" s="23">
        <f t="shared" ref="C20:P20" ca="1" si="2">C16*C18</f>
        <v>0</v>
      </c>
      <c r="D20" s="23">
        <f t="shared" ca="1" si="2"/>
        <v>4245.3247792734683</v>
      </c>
      <c r="E20" s="23">
        <f t="shared" si="2"/>
        <v>89.349673375085544</v>
      </c>
      <c r="F20" s="23">
        <f t="shared" ca="1" si="2"/>
        <v>1504.3655093594</v>
      </c>
      <c r="G20" s="23">
        <f t="shared" si="2"/>
        <v>0</v>
      </c>
      <c r="H20" s="23">
        <f t="shared" si="2"/>
        <v>0</v>
      </c>
      <c r="I20" s="23">
        <f t="shared" si="2"/>
        <v>0</v>
      </c>
      <c r="J20" s="23">
        <f t="shared" si="2"/>
        <v>7.2523864958833201E-2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4538.9814770000003</v>
      </c>
      <c r="C26" s="39">
        <f>IF(ISERROR(B26*3.6/1000000/'E Balans VL '!Z12*100),0,B26*3.6/1000000/'E Balans VL '!Z12*100)</f>
        <v>9.5946878096321242E-2</v>
      </c>
      <c r="D26" s="237" t="s">
        <v>754</v>
      </c>
      <c r="F26" s="6"/>
    </row>
    <row r="27" spans="1:18">
      <c r="A27" s="231" t="s">
        <v>53</v>
      </c>
      <c r="B27" s="33">
        <f>IF(ISERROR(TER_horeca_ele_kWh/1000),0,TER_horeca_ele_kWh/1000)</f>
        <v>2439.589508</v>
      </c>
      <c r="C27" s="39">
        <f>IF(ISERROR(B27*3.6/1000000/'E Balans VL '!Z9*100),0,B27*3.6/1000000/'E Balans VL '!Z9*100)</f>
        <v>0.19231193163420987</v>
      </c>
      <c r="D27" s="237" t="s">
        <v>754</v>
      </c>
      <c r="F27" s="6"/>
    </row>
    <row r="28" spans="1:18">
      <c r="A28" s="171" t="s">
        <v>52</v>
      </c>
      <c r="B28" s="33">
        <f>IF(ISERROR(TER_handel_ele_kWh/1000),0,TER_handel_ele_kWh/1000)</f>
        <v>9161.6055340000003</v>
      </c>
      <c r="C28" s="39">
        <f>IF(ISERROR(B28*3.6/1000000/'E Balans VL '!Z13*100),0,B28*3.6/1000000/'E Balans VL '!Z13*100)</f>
        <v>0.26590680963102209</v>
      </c>
      <c r="D28" s="237" t="s">
        <v>754</v>
      </c>
      <c r="F28" s="6"/>
    </row>
    <row r="29" spans="1:18">
      <c r="A29" s="231" t="s">
        <v>51</v>
      </c>
      <c r="B29" s="33">
        <f>IF(ISERROR(TER_gezond_ele_kWh/1000),0,TER_gezond_ele_kWh/1000)</f>
        <v>1581.3512739999999</v>
      </c>
      <c r="C29" s="39">
        <f>IF(ISERROR(B29*3.6/1000000/'E Balans VL '!Z10*100),0,B29*3.6/1000000/'E Balans VL '!Z10*100)</f>
        <v>0.16654225562553363</v>
      </c>
      <c r="D29" s="237" t="s">
        <v>754</v>
      </c>
      <c r="F29" s="6"/>
    </row>
    <row r="30" spans="1:18">
      <c r="A30" s="231" t="s">
        <v>50</v>
      </c>
      <c r="B30" s="33">
        <f>IF(ISERROR(TER_ander_ele_kWh/1000),0,TER_ander_ele_kWh/1000)</f>
        <v>9438.3543230000014</v>
      </c>
      <c r="C30" s="39">
        <f>IF(ISERROR(B30*3.6/1000000/'E Balans VL '!Z14*100),0,B30*3.6/1000000/'E Balans VL '!Z14*100)</f>
        <v>0.6961750648648416</v>
      </c>
      <c r="D30" s="237" t="s">
        <v>754</v>
      </c>
      <c r="F30" s="6"/>
    </row>
    <row r="31" spans="1:18">
      <c r="A31" s="231" t="s">
        <v>55</v>
      </c>
      <c r="B31" s="33">
        <f>IF(ISERROR(TER_onderwijs_ele_kWh/1000),0,TER_onderwijs_ele_kWh/1000)</f>
        <v>994.70123100000001</v>
      </c>
      <c r="C31" s="39">
        <f>IF(ISERROR(B31*3.6/1000000/'E Balans VL '!Z11*100),0,B31*3.6/1000000/'E Balans VL '!Z11*100)</f>
        <v>0.24703091020700901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22886.706539999999</v>
      </c>
      <c r="C5" s="17">
        <f>IF(ISERROR('Eigen informatie GS &amp; warmtenet'!B59),0,'Eigen informatie GS &amp; warmtenet'!B59)</f>
        <v>0</v>
      </c>
      <c r="D5" s="30">
        <f>SUM(D6:D15)</f>
        <v>7913.2774094440001</v>
      </c>
      <c r="E5" s="17">
        <f>SUM(E6:E15)</f>
        <v>3901.5604716916969</v>
      </c>
      <c r="F5" s="17">
        <f>SUM(F6:F15)</f>
        <v>11309.410026341366</v>
      </c>
      <c r="G5" s="18"/>
      <c r="H5" s="17"/>
      <c r="I5" s="17"/>
      <c r="J5" s="17">
        <f>SUM(J6:J15)</f>
        <v>1.2066596871772828</v>
      </c>
      <c r="K5" s="17"/>
      <c r="L5" s="17"/>
      <c r="M5" s="17"/>
      <c r="N5" s="17">
        <f>SUM(N6:N15)</f>
        <v>5679.2939284029062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4137.5433220000004</v>
      </c>
      <c r="C8" s="33"/>
      <c r="D8" s="37">
        <f>IF( ISERROR(IND_metaal_Gas_kWH/1000),0,IND_metaal_Gas_kWH/1000)*0.902</f>
        <v>1781.9037060000001</v>
      </c>
      <c r="E8" s="33">
        <f>C30*'E Balans VL '!I18/100/3.6*1000000</f>
        <v>38.040714768446804</v>
      </c>
      <c r="F8" s="33">
        <f>C30*'E Balans VL '!L18/100/3.6*1000000+C30*'E Balans VL '!N18/100/3.6*1000000</f>
        <v>387.96381084244462</v>
      </c>
      <c r="G8" s="34"/>
      <c r="H8" s="33"/>
      <c r="I8" s="33"/>
      <c r="J8" s="40">
        <f>C30*'E Balans VL '!D18/100/3.6*1000000+C30*'E Balans VL '!E18/100/3.6*1000000</f>
        <v>0</v>
      </c>
      <c r="K8" s="33"/>
      <c r="L8" s="33"/>
      <c r="M8" s="33"/>
      <c r="N8" s="33">
        <f>C30*'E Balans VL '!Y18/100/3.6*1000000</f>
        <v>59.028893066607196</v>
      </c>
      <c r="O8" s="33"/>
      <c r="P8" s="33"/>
      <c r="R8" s="32"/>
    </row>
    <row r="9" spans="1:18">
      <c r="A9" s="6" t="s">
        <v>33</v>
      </c>
      <c r="B9" s="37">
        <f t="shared" si="0"/>
        <v>13117.662501000001</v>
      </c>
      <c r="C9" s="33"/>
      <c r="D9" s="37">
        <f>IF( ISERROR(IND_andere_gas_kWh/1000),0,IND_andere_gas_kWh/1000)*0.902</f>
        <v>4539.4568593439999</v>
      </c>
      <c r="E9" s="33">
        <f>C31*'E Balans VL '!I19/100/3.6*1000000</f>
        <v>3834.5481198103867</v>
      </c>
      <c r="F9" s="33">
        <f>C31*'E Balans VL '!L19/100/3.6*1000000+C31*'E Balans VL '!N19/100/3.6*1000000</f>
        <v>10541.034735369842</v>
      </c>
      <c r="G9" s="34"/>
      <c r="H9" s="33"/>
      <c r="I9" s="33"/>
      <c r="J9" s="40">
        <f>C31*'E Balans VL '!D19/100/3.6*1000000+C31*'E Balans VL '!E19/100/3.6*1000000</f>
        <v>0</v>
      </c>
      <c r="K9" s="33"/>
      <c r="L9" s="33"/>
      <c r="M9" s="33"/>
      <c r="N9" s="33">
        <f>C31*'E Balans VL '!Y19/100/3.6*1000000</f>
        <v>4334.2791308518454</v>
      </c>
      <c r="O9" s="33"/>
      <c r="P9" s="33"/>
      <c r="R9" s="32"/>
    </row>
    <row r="10" spans="1:18">
      <c r="A10" s="6" t="s">
        <v>41</v>
      </c>
      <c r="B10" s="37">
        <f t="shared" si="0"/>
        <v>4827.9097170000005</v>
      </c>
      <c r="C10" s="33"/>
      <c r="D10" s="37">
        <f>IF( ISERROR(IND_voed_gas_kWh/1000),0,IND_voed_gas_kWh/1000)*0.902</f>
        <v>1224.3951400999999</v>
      </c>
      <c r="E10" s="33">
        <f>C32*'E Balans VL '!I20/100/3.6*1000000</f>
        <v>10.213517863940265</v>
      </c>
      <c r="F10" s="33">
        <f>C32*'E Balans VL '!L20/100/3.6*1000000+C32*'E Balans VL '!N20/100/3.6*1000000</f>
        <v>306.96343137201995</v>
      </c>
      <c r="G10" s="34"/>
      <c r="H10" s="33"/>
      <c r="I10" s="33"/>
      <c r="J10" s="40">
        <f>C32*'E Balans VL '!D20/100/3.6*1000000+C32*'E Balans VL '!E20/100/3.6*1000000</f>
        <v>0</v>
      </c>
      <c r="K10" s="33"/>
      <c r="L10" s="33"/>
      <c r="M10" s="33"/>
      <c r="N10" s="33">
        <f>C32*'E Balans VL '!Y20/100/3.6*1000000</f>
        <v>333.17341345022351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301.41699999999997</v>
      </c>
      <c r="C13" s="33"/>
      <c r="D13" s="37">
        <f>IF( ISERROR(IND_papier_gas_kWh/1000),0,IND_papier_gas_kWh/1000)*0.902</f>
        <v>198.474276</v>
      </c>
      <c r="E13" s="33">
        <f>C35*'E Balans VL '!I23/100/3.6*1000000</f>
        <v>0.42764178946722953</v>
      </c>
      <c r="F13" s="33">
        <f>C35*'E Balans VL '!L23/100/3.6*1000000+C35*'E Balans VL '!N23/100/3.6*1000000</f>
        <v>7.3587223709953582</v>
      </c>
      <c r="G13" s="34"/>
      <c r="H13" s="33"/>
      <c r="I13" s="33"/>
      <c r="J13" s="40">
        <f>C35*'E Balans VL '!D23/100/3.6*1000000+C35*'E Balans VL '!E23/100/3.6*1000000</f>
        <v>4.6616968925241378E-2</v>
      </c>
      <c r="K13" s="33"/>
      <c r="L13" s="33"/>
      <c r="M13" s="33"/>
      <c r="N13" s="33">
        <f>C35*'E Balans VL '!Y23/100/3.6*1000000</f>
        <v>876.1478686952928</v>
      </c>
      <c r="O13" s="33"/>
      <c r="P13" s="33"/>
      <c r="R13" s="32"/>
    </row>
    <row r="14" spans="1:18">
      <c r="A14" s="6" t="s">
        <v>34</v>
      </c>
      <c r="B14" s="37">
        <f t="shared" si="0"/>
        <v>178.13800000000001</v>
      </c>
      <c r="C14" s="33"/>
      <c r="D14" s="37">
        <f>IF( ISERROR(IND_chemie_gas_kWh/1000),0,IND_chemie_gas_kWh/1000)*0.902</f>
        <v>0</v>
      </c>
      <c r="E14" s="33">
        <f>C36*'E Balans VL '!I24/100/3.6*1000000</f>
        <v>0.43852471611294502</v>
      </c>
      <c r="F14" s="33">
        <f>C36*'E Balans VL '!L24/100/3.6*1000000+C36*'E Balans VL '!N24/100/3.6*1000000</f>
        <v>1.9074933491698884</v>
      </c>
      <c r="G14" s="34"/>
      <c r="H14" s="33"/>
      <c r="I14" s="33"/>
      <c r="J14" s="40">
        <f>C36*'E Balans VL '!D24/100/3.6*1000000+C36*'E Balans VL '!E24/100/3.6*1000000</f>
        <v>0</v>
      </c>
      <c r="K14" s="33"/>
      <c r="L14" s="33"/>
      <c r="M14" s="33"/>
      <c r="N14" s="33">
        <f>C36*'E Balans VL '!Y24/100/3.6*1000000</f>
        <v>3.9782612777888722</v>
      </c>
      <c r="O14" s="33"/>
      <c r="P14" s="33"/>
      <c r="R14" s="32"/>
    </row>
    <row r="15" spans="1:18">
      <c r="A15" s="6" t="s">
        <v>270</v>
      </c>
      <c r="B15" s="37">
        <f t="shared" si="0"/>
        <v>324.036</v>
      </c>
      <c r="C15" s="33"/>
      <c r="D15" s="37">
        <f>IF( ISERROR(IND_rest_gas_kWh/1000),0,IND_rest_gas_kWh/1000)*0.902</f>
        <v>169.047428</v>
      </c>
      <c r="E15" s="33">
        <f>C37*'E Balans VL '!I15/100/3.6*1000000</f>
        <v>17.891952743343303</v>
      </c>
      <c r="F15" s="33">
        <f>C37*'E Balans VL '!L15/100/3.6*1000000+C37*'E Balans VL '!N15/100/3.6*1000000</f>
        <v>64.181833036895853</v>
      </c>
      <c r="G15" s="34"/>
      <c r="H15" s="33"/>
      <c r="I15" s="33"/>
      <c r="J15" s="40">
        <f>C37*'E Balans VL '!D15/100/3.6*1000000+C37*'E Balans VL '!E15/100/3.6*1000000</f>
        <v>1.1600427182520414</v>
      </c>
      <c r="K15" s="33"/>
      <c r="L15" s="33"/>
      <c r="M15" s="33"/>
      <c r="N15" s="33">
        <f>C37*'E Balans VL '!Y15/100/3.6*1000000</f>
        <v>72.686361061148347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22886.706539999999</v>
      </c>
      <c r="C18" s="21">
        <f>C5+C16</f>
        <v>0</v>
      </c>
      <c r="D18" s="21">
        <f>MAX((D5+D16),0)</f>
        <v>7913.2774094440001</v>
      </c>
      <c r="E18" s="21">
        <f>MAX((E5+E16),0)</f>
        <v>3901.5604716916969</v>
      </c>
      <c r="F18" s="21">
        <f>MAX((F5+F16),0)</f>
        <v>11309.410026341366</v>
      </c>
      <c r="G18" s="21"/>
      <c r="H18" s="21"/>
      <c r="I18" s="21"/>
      <c r="J18" s="21">
        <f>MAX((J5+J16),0)</f>
        <v>1.2066596871772828</v>
      </c>
      <c r="K18" s="21"/>
      <c r="L18" s="21">
        <f>MAX((L5+L16),0)</f>
        <v>0</v>
      </c>
      <c r="M18" s="21"/>
      <c r="N18" s="21">
        <f>MAX((N5+N16),0)</f>
        <v>5679.2939284029062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0.18900784825586658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4325.7671567888692</v>
      </c>
      <c r="C22" s="23">
        <f ca="1">C18*C20</f>
        <v>0</v>
      </c>
      <c r="D22" s="23">
        <f>D18*D20</f>
        <v>1598.4820367076882</v>
      </c>
      <c r="E22" s="23">
        <f>E18*E20</f>
        <v>885.65422707401524</v>
      </c>
      <c r="F22" s="23">
        <f>F18*F20</f>
        <v>3019.6124770331448</v>
      </c>
      <c r="G22" s="23"/>
      <c r="H22" s="23"/>
      <c r="I22" s="23"/>
      <c r="J22" s="23">
        <f>J18*J20</f>
        <v>0.42715752926075806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4137.5433220000004</v>
      </c>
      <c r="C30" s="39">
        <f>IF(ISERROR(B30*3.6/1000000/'E Balans VL '!Z18*100),0,B30*3.6/1000000/'E Balans VL '!Z18*100)</f>
        <v>0.23448518941272078</v>
      </c>
      <c r="D30" s="237" t="s">
        <v>754</v>
      </c>
    </row>
    <row r="31" spans="1:18">
      <c r="A31" s="6" t="s">
        <v>33</v>
      </c>
      <c r="B31" s="37">
        <f>IF( ISERROR(IND_ander_ele_kWh/1000),0,IND_ander_ele_kWh/1000)</f>
        <v>13117.662501000001</v>
      </c>
      <c r="C31" s="39">
        <f>IF(ISERROR(B31*3.6/1000000/'E Balans VL '!Z19*100),0,B31*3.6/1000000/'E Balans VL '!Z19*100)</f>
        <v>0.5949625500493676</v>
      </c>
      <c r="D31" s="237" t="s">
        <v>754</v>
      </c>
    </row>
    <row r="32" spans="1:18">
      <c r="A32" s="171" t="s">
        <v>41</v>
      </c>
      <c r="B32" s="37">
        <f>IF( ISERROR(IND_voed_ele_kWh/1000),0,IND_voed_ele_kWh/1000)</f>
        <v>4827.9097170000005</v>
      </c>
      <c r="C32" s="39">
        <f>IF(ISERROR(B32*3.6/1000000/'E Balans VL '!Z20*100),0,B32*3.6/1000000/'E Balans VL '!Z20*100)</f>
        <v>0.14934916440636431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301.41699999999997</v>
      </c>
      <c r="C35" s="39">
        <f>IF(ISERROR(B35*3.6/1000000/'E Balans VL '!Z22*100),0,B35*3.6/1000000/'E Balans VL '!Z22*100)</f>
        <v>5.4215514197906239E-2</v>
      </c>
      <c r="D35" s="237" t="s">
        <v>754</v>
      </c>
    </row>
    <row r="36" spans="1:5">
      <c r="A36" s="171" t="s">
        <v>34</v>
      </c>
      <c r="B36" s="37">
        <f>IF( ISERROR(IND_chemie_ele_kWh/1000),0,IND_chemie_ele_kWh/1000)</f>
        <v>178.13800000000001</v>
      </c>
      <c r="C36" s="39">
        <f>IF(ISERROR(B36*3.6/1000000/'E Balans VL '!Z24*100),0,B36*3.6/1000000/'E Balans VL '!Z24*100)</f>
        <v>5.4321446019085827E-3</v>
      </c>
      <c r="D36" s="237" t="s">
        <v>754</v>
      </c>
    </row>
    <row r="37" spans="1:5">
      <c r="A37" s="171" t="s">
        <v>270</v>
      </c>
      <c r="B37" s="37">
        <f>IF( ISERROR(IND_rest_ele_kWh/1000),0,IND_rest_ele_kWh/1000)</f>
        <v>324.036</v>
      </c>
      <c r="C37" s="39">
        <f>IF(ISERROR(B37*3.6/1000000/'E Balans VL '!Z15*100),0,B37*3.6/1000000/'E Balans VL '!Z15*100)</f>
        <v>2.5683832540553462E-3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9783.4557074118766</v>
      </c>
      <c r="C5" s="17">
        <f>'Eigen informatie GS &amp; warmtenet'!B60</f>
        <v>0</v>
      </c>
      <c r="D5" s="30">
        <f>IF(ISERROR(SUM(LB_lb_gas_kWh,LB_rest_gas_kWh)/1000),0,SUM(LB_lb_gas_kWh,LB_rest_gas_kWh)/1000)*0.902</f>
        <v>958.51481000000001</v>
      </c>
      <c r="E5" s="17">
        <f>B17*'E Balans VL '!I25/3.6*1000000/100</f>
        <v>287.5656453636048</v>
      </c>
      <c r="F5" s="17">
        <f>B17*('E Balans VL '!L25/3.6*1000000+'E Balans VL '!N25/3.6*1000000)/100</f>
        <v>40757.347806880112</v>
      </c>
      <c r="G5" s="18"/>
      <c r="H5" s="17"/>
      <c r="I5" s="17"/>
      <c r="J5" s="17">
        <f>('E Balans VL '!D25+'E Balans VL '!E25)/3.6*1000000*landbouw!B17/100</f>
        <v>1417.4126298876488</v>
      </c>
      <c r="K5" s="17"/>
      <c r="L5" s="17">
        <f>L6*(-1)</f>
        <v>0</v>
      </c>
      <c r="M5" s="17"/>
      <c r="N5" s="17">
        <f>N6*(-1)</f>
        <v>5396.1428571428569</v>
      </c>
      <c r="O5" s="17"/>
      <c r="P5" s="17"/>
      <c r="R5" s="32"/>
    </row>
    <row r="6" spans="1:18">
      <c r="A6" s="16" t="s">
        <v>488</v>
      </c>
      <c r="B6" s="17" t="s">
        <v>211</v>
      </c>
      <c r="C6" s="17">
        <f>'lokale energieproductie'!O92+'lokale energieproductie'!O61</f>
        <v>268.07142857142856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9783.4557074118766</v>
      </c>
      <c r="C8" s="21">
        <f>C5+C6</f>
        <v>268.07142857142856</v>
      </c>
      <c r="D8" s="21">
        <f>MAX((D5+D6),0)</f>
        <v>958.51481000000001</v>
      </c>
      <c r="E8" s="21">
        <f>MAX((E5+E6),0)</f>
        <v>287.5656453636048</v>
      </c>
      <c r="F8" s="21">
        <f>MAX((F5+F6),0)</f>
        <v>40757.347806880112</v>
      </c>
      <c r="G8" s="21"/>
      <c r="H8" s="21"/>
      <c r="I8" s="21"/>
      <c r="J8" s="21">
        <f>MAX((J5+J6),0)</f>
        <v>1417.4126298876488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0.18900784825586658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1849.1499117644958</v>
      </c>
      <c r="C12" s="23">
        <f ca="1">C8*C10</f>
        <v>0</v>
      </c>
      <c r="D12" s="23">
        <f>D8*D10</f>
        <v>193.61999162000001</v>
      </c>
      <c r="E12" s="23">
        <f>E8*E10</f>
        <v>65.277401497538293</v>
      </c>
      <c r="F12" s="23">
        <f>F8*F10</f>
        <v>10882.211864436991</v>
      </c>
      <c r="G12" s="23"/>
      <c r="H12" s="23"/>
      <c r="I12" s="23"/>
      <c r="J12" s="23">
        <f>J8*J10</f>
        <v>501.76407098022764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1.3883030595379355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2367.0277262250429</v>
      </c>
      <c r="C26" s="247">
        <f>B26*'GWP N2O_CH4'!B5</f>
        <v>49707.5822507259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1150.5742900993685</v>
      </c>
      <c r="C27" s="247">
        <f>B27*'GWP N2O_CH4'!B5</f>
        <v>24162.060092086736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30.306616526979845</v>
      </c>
      <c r="C28" s="247">
        <f>B28*'GWP N2O_CH4'!B4</f>
        <v>9395.0511233637517</v>
      </c>
      <c r="D28" s="50"/>
    </row>
    <row r="29" spans="1:4">
      <c r="A29" s="41" t="s">
        <v>277</v>
      </c>
      <c r="B29" s="247">
        <f>B34*'ha_N2O bodem landbouw'!B4</f>
        <v>79.86052229389955</v>
      </c>
      <c r="C29" s="247">
        <f>B29*'GWP N2O_CH4'!B4</f>
        <v>24756.761911108861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1.8223895975864692E-2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2.1837286914967477E-4</v>
      </c>
      <c r="C5" s="463" t="s">
        <v>211</v>
      </c>
      <c r="D5" s="448">
        <f>SUM(D6:D11)</f>
        <v>7.3009082761862486E-4</v>
      </c>
      <c r="E5" s="448">
        <f>SUM(E6:E11)</f>
        <v>9.800854264491335E-4</v>
      </c>
      <c r="F5" s="461" t="s">
        <v>211</v>
      </c>
      <c r="G5" s="448">
        <f>SUM(G6:G11)</f>
        <v>0.3809043910689307</v>
      </c>
      <c r="H5" s="448">
        <f>SUM(H6:H11)</f>
        <v>8.2528475416460176E-2</v>
      </c>
      <c r="I5" s="463" t="s">
        <v>211</v>
      </c>
      <c r="J5" s="463" t="s">
        <v>211</v>
      </c>
      <c r="K5" s="463" t="s">
        <v>211</v>
      </c>
      <c r="L5" s="463" t="s">
        <v>211</v>
      </c>
      <c r="M5" s="448">
        <f>SUM(M6:M11)</f>
        <v>2.4689116861697318E-2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1.8619170231643523E-4</v>
      </c>
      <c r="C6" s="449"/>
      <c r="D6" s="892">
        <f>vkm_2011_GW_PW*SUMIFS(TableVerdeelsleutelVkm[CNG],TableVerdeelsleutelVkm[Voertuigtype],"Lichte voertuigen")*SUMIFS(TableECFTransport[EnergieConsumptieFactor (PJ per km)],TableECFTransport[Index],CONCATENATE($A6,"_CNG_CNG"))</f>
        <v>5.5846824263265974E-4</v>
      </c>
      <c r="E6" s="892">
        <f>vkm_2011_GW_PW*SUMIFS(TableVerdeelsleutelVkm[LPG],TableVerdeelsleutelVkm[Voertuigtype],"Lichte voertuigen")*SUMIFS(TableECFTransport[EnergieConsumptieFactor (PJ per km)],TableECFTransport[Index],CONCATENATE($A6,"_LPG_LPG"))</f>
        <v>7.6294783944584436E-4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0.19726333720814415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6.3519336564634654E-2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1.3398822420313108E-2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0.12337935191644353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3.7603519382962134E-5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7.2098730676910527E-3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3.2181166833239554E-5</v>
      </c>
      <c r="C8" s="449"/>
      <c r="D8" s="451">
        <f>vkm_2011_NGW_PW*SUMIFS(TableVerdeelsleutelVkm[CNG],TableVerdeelsleutelVkm[Voertuigtype],"Lichte voertuigen")*SUMIFS(TableECFTransport[EnergieConsumptieFactor (PJ per km)],TableECFTransport[Index],CONCATENATE($A8,"_CNG_CNG"))</f>
        <v>1.7162258498596515E-4</v>
      </c>
      <c r="E8" s="451">
        <f>vkm_2011_NGW_PW*SUMIFS(TableVerdeelsleutelVkm[LPG],TableVerdeelsleutelVkm[Voertuigtype],"Lichte voertuigen")*SUMIFS(TableECFTransport[EnergieConsumptieFactor (PJ per km)],TableECFTransport[Index],CONCATENATE($A8,"_LPG_LPG"))</f>
        <v>2.1713758700328913E-4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5.2318241783483731E-2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1.8969256165264063E-2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3.6162365444245524E-3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7.9434601608592958E-3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2.2791671785016378E-6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4.6418482926860493E-4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60.659130319354105</v>
      </c>
      <c r="C14" s="21"/>
      <c r="D14" s="21">
        <f t="shared" ref="D14:M14" si="0">((D5)*10^9/3600)+D12</f>
        <v>202.80300767184025</v>
      </c>
      <c r="E14" s="21">
        <f t="shared" si="0"/>
        <v>272.24595179142597</v>
      </c>
      <c r="F14" s="21"/>
      <c r="G14" s="21">
        <f t="shared" si="0"/>
        <v>105806.77529692519</v>
      </c>
      <c r="H14" s="21">
        <f t="shared" si="0"/>
        <v>22924.576504572269</v>
      </c>
      <c r="I14" s="21"/>
      <c r="J14" s="21"/>
      <c r="K14" s="21"/>
      <c r="L14" s="21"/>
      <c r="M14" s="21">
        <f t="shared" si="0"/>
        <v>6858.0880171381441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0.18900784825586658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11.465051698733317</v>
      </c>
      <c r="C18" s="23"/>
      <c r="D18" s="23">
        <f t="shared" ref="D18:M18" si="1">D14*D16</f>
        <v>40.966207549711733</v>
      </c>
      <c r="E18" s="23">
        <f t="shared" si="1"/>
        <v>61.799831056653694</v>
      </c>
      <c r="F18" s="23"/>
      <c r="G18" s="23">
        <f t="shared" si="1"/>
        <v>28250.409004279027</v>
      </c>
      <c r="H18" s="23">
        <f t="shared" si="1"/>
        <v>5708.2195496384948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6.7126627812998177E-3</v>
      </c>
      <c r="H50" s="321">
        <f t="shared" si="2"/>
        <v>0</v>
      </c>
      <c r="I50" s="321">
        <f t="shared" si="2"/>
        <v>0</v>
      </c>
      <c r="J50" s="321">
        <f t="shared" si="2"/>
        <v>0</v>
      </c>
      <c r="K50" s="321">
        <f t="shared" si="2"/>
        <v>0</v>
      </c>
      <c r="L50" s="321">
        <f t="shared" si="2"/>
        <v>0</v>
      </c>
      <c r="M50" s="321">
        <f t="shared" si="2"/>
        <v>3.8124961241523773E-4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6.7126627812998177E-3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3.8124961241523773E-4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1864.6285503610604</v>
      </c>
      <c r="H54" s="21">
        <f t="shared" si="3"/>
        <v>0</v>
      </c>
      <c r="I54" s="21">
        <f t="shared" si="3"/>
        <v>0</v>
      </c>
      <c r="J54" s="21">
        <f t="shared" si="3"/>
        <v>0</v>
      </c>
      <c r="K54" s="21">
        <f t="shared" si="3"/>
        <v>0</v>
      </c>
      <c r="L54" s="21">
        <f t="shared" si="3"/>
        <v>0</v>
      </c>
      <c r="M54" s="21">
        <f t="shared" si="3"/>
        <v>105.90267011534381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0.18900784825586658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497.85582294640318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29000.139347</v>
      </c>
      <c r="D10" s="1013">
        <f ca="1">tertiair!C16</f>
        <v>0</v>
      </c>
      <c r="E10" s="1013">
        <f ca="1">tertiair!D16</f>
        <v>21016.459303333999</v>
      </c>
      <c r="F10" s="1013">
        <f>tertiair!E16</f>
        <v>393.61089592548694</v>
      </c>
      <c r="G10" s="1013">
        <f ca="1">tertiair!F16</f>
        <v>5634.3277504097377</v>
      </c>
      <c r="H10" s="1013">
        <f>tertiair!G16</f>
        <v>0</v>
      </c>
      <c r="I10" s="1013">
        <f>tertiair!H16</f>
        <v>0</v>
      </c>
      <c r="J10" s="1013">
        <f>tertiair!I16</f>
        <v>0</v>
      </c>
      <c r="K10" s="1013">
        <f>tertiair!J16</f>
        <v>0.20486967502495257</v>
      </c>
      <c r="L10" s="1013">
        <f>tertiair!K16</f>
        <v>0</v>
      </c>
      <c r="M10" s="1013">
        <f ca="1">tertiair!L16</f>
        <v>0</v>
      </c>
      <c r="N10" s="1013">
        <f>tertiair!M16</f>
        <v>0</v>
      </c>
      <c r="O10" s="1013">
        <f ca="1">tertiair!N16</f>
        <v>8059.812319446024</v>
      </c>
      <c r="P10" s="1013">
        <f>tertiair!O16</f>
        <v>3.1266666666666669</v>
      </c>
      <c r="Q10" s="1014">
        <f>tertiair!P16</f>
        <v>19.066666666666666</v>
      </c>
      <c r="R10" s="700">
        <f ca="1">SUM(C10:Q10)</f>
        <v>64126.7478191236</v>
      </c>
      <c r="S10" s="67"/>
    </row>
    <row r="11" spans="1:19" s="473" customFormat="1">
      <c r="A11" s="809" t="s">
        <v>225</v>
      </c>
      <c r="B11" s="814"/>
      <c r="C11" s="1013">
        <f>huishoudens!B8</f>
        <v>26966.002916474881</v>
      </c>
      <c r="D11" s="1013">
        <f>huishoudens!C8</f>
        <v>0</v>
      </c>
      <c r="E11" s="1013">
        <f>huishoudens!D8</f>
        <v>53364.600752099999</v>
      </c>
      <c r="F11" s="1013">
        <f>huishoudens!E8</f>
        <v>10376.185128314681</v>
      </c>
      <c r="G11" s="1013">
        <f>huishoudens!F8</f>
        <v>9922.9802696845509</v>
      </c>
      <c r="H11" s="1013">
        <f>huishoudens!G8</f>
        <v>0</v>
      </c>
      <c r="I11" s="1013">
        <f>huishoudens!H8</f>
        <v>0</v>
      </c>
      <c r="J11" s="1013">
        <f>huishoudens!I8</f>
        <v>0</v>
      </c>
      <c r="K11" s="1013">
        <f>huishoudens!J8</f>
        <v>3585.9752525990561</v>
      </c>
      <c r="L11" s="1013">
        <f>huishoudens!K8</f>
        <v>0</v>
      </c>
      <c r="M11" s="1013">
        <f>huishoudens!L8</f>
        <v>0</v>
      </c>
      <c r="N11" s="1013">
        <f>huishoudens!M8</f>
        <v>0</v>
      </c>
      <c r="O11" s="1013">
        <f>huishoudens!N8</f>
        <v>30214.969786537004</v>
      </c>
      <c r="P11" s="1013">
        <f>huishoudens!O8</f>
        <v>334.55333333333334</v>
      </c>
      <c r="Q11" s="1014">
        <f>huishoudens!P8</f>
        <v>667.33333333333337</v>
      </c>
      <c r="R11" s="700">
        <f>SUM(C11:Q11)</f>
        <v>135432.60077237687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22886.706539999999</v>
      </c>
      <c r="D13" s="1013">
        <f>industrie!C18</f>
        <v>0</v>
      </c>
      <c r="E13" s="1013">
        <f>industrie!D18</f>
        <v>7913.2774094440001</v>
      </c>
      <c r="F13" s="1013">
        <f>industrie!E18</f>
        <v>3901.5604716916969</v>
      </c>
      <c r="G13" s="1013">
        <f>industrie!F18</f>
        <v>11309.410026341366</v>
      </c>
      <c r="H13" s="1013">
        <f>industrie!G18</f>
        <v>0</v>
      </c>
      <c r="I13" s="1013">
        <f>industrie!H18</f>
        <v>0</v>
      </c>
      <c r="J13" s="1013">
        <f>industrie!I18</f>
        <v>0</v>
      </c>
      <c r="K13" s="1013">
        <f>industrie!J18</f>
        <v>1.2066596871772828</v>
      </c>
      <c r="L13" s="1013">
        <f>industrie!K18</f>
        <v>0</v>
      </c>
      <c r="M13" s="1013">
        <f>industrie!L18</f>
        <v>0</v>
      </c>
      <c r="N13" s="1013">
        <f>industrie!M18</f>
        <v>0</v>
      </c>
      <c r="O13" s="1013">
        <f>industrie!N18</f>
        <v>5679.2939284029062</v>
      </c>
      <c r="P13" s="1013">
        <f>industrie!O18</f>
        <v>0</v>
      </c>
      <c r="Q13" s="1014">
        <f>industrie!P18</f>
        <v>0</v>
      </c>
      <c r="R13" s="700">
        <f>SUM(C13:Q13)</f>
        <v>51691.455035567138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78852.848803474888</v>
      </c>
      <c r="D16" s="732">
        <f t="shared" ref="D16:R16" ca="1" si="0">SUM(D9:D15)</f>
        <v>0</v>
      </c>
      <c r="E16" s="732">
        <f t="shared" ca="1" si="0"/>
        <v>82294.337464878001</v>
      </c>
      <c r="F16" s="732">
        <f t="shared" si="0"/>
        <v>14671.356495931865</v>
      </c>
      <c r="G16" s="732">
        <f t="shared" ca="1" si="0"/>
        <v>26866.718046435657</v>
      </c>
      <c r="H16" s="732">
        <f t="shared" si="0"/>
        <v>0</v>
      </c>
      <c r="I16" s="732">
        <f t="shared" si="0"/>
        <v>0</v>
      </c>
      <c r="J16" s="732">
        <f t="shared" si="0"/>
        <v>0</v>
      </c>
      <c r="K16" s="732">
        <f t="shared" si="0"/>
        <v>3587.3867819612583</v>
      </c>
      <c r="L16" s="732">
        <f t="shared" si="0"/>
        <v>0</v>
      </c>
      <c r="M16" s="732">
        <f t="shared" ca="1" si="0"/>
        <v>0</v>
      </c>
      <c r="N16" s="732">
        <f t="shared" si="0"/>
        <v>0</v>
      </c>
      <c r="O16" s="732">
        <f t="shared" ca="1" si="0"/>
        <v>43954.076034385937</v>
      </c>
      <c r="P16" s="732">
        <f t="shared" si="0"/>
        <v>337.68</v>
      </c>
      <c r="Q16" s="732">
        <f t="shared" si="0"/>
        <v>686.40000000000009</v>
      </c>
      <c r="R16" s="732">
        <f t="shared" ca="1" si="0"/>
        <v>251250.80362706762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1864.6285503610604</v>
      </c>
      <c r="I19" s="1013">
        <f>transport!H54</f>
        <v>0</v>
      </c>
      <c r="J19" s="1013">
        <f>transport!I54</f>
        <v>0</v>
      </c>
      <c r="K19" s="1013">
        <f>transport!J54</f>
        <v>0</v>
      </c>
      <c r="L19" s="1013">
        <f>transport!K54</f>
        <v>0</v>
      </c>
      <c r="M19" s="1013">
        <f>transport!L54</f>
        <v>0</v>
      </c>
      <c r="N19" s="1013">
        <f>transport!M54</f>
        <v>105.90267011534381</v>
      </c>
      <c r="O19" s="1013">
        <f>transport!N54</f>
        <v>0</v>
      </c>
      <c r="P19" s="1013">
        <f>transport!O54</f>
        <v>0</v>
      </c>
      <c r="Q19" s="1014">
        <f>transport!P54</f>
        <v>0</v>
      </c>
      <c r="R19" s="700">
        <f>SUM(C19:Q19)</f>
        <v>1970.5312204764043</v>
      </c>
      <c r="S19" s="67"/>
    </row>
    <row r="20" spans="1:19" s="473" customFormat="1">
      <c r="A20" s="809" t="s">
        <v>307</v>
      </c>
      <c r="B20" s="814"/>
      <c r="C20" s="1013">
        <f>transport!B14</f>
        <v>60.659130319354105</v>
      </c>
      <c r="D20" s="1013">
        <f>transport!C14</f>
        <v>0</v>
      </c>
      <c r="E20" s="1013">
        <f>transport!D14</f>
        <v>202.80300767184025</v>
      </c>
      <c r="F20" s="1013">
        <f>transport!E14</f>
        <v>272.24595179142597</v>
      </c>
      <c r="G20" s="1013">
        <f>transport!F14</f>
        <v>0</v>
      </c>
      <c r="H20" s="1013">
        <f>transport!G14</f>
        <v>105806.77529692519</v>
      </c>
      <c r="I20" s="1013">
        <f>transport!H14</f>
        <v>22924.576504572269</v>
      </c>
      <c r="J20" s="1013">
        <f>transport!I14</f>
        <v>0</v>
      </c>
      <c r="K20" s="1013">
        <f>transport!J14</f>
        <v>0</v>
      </c>
      <c r="L20" s="1013">
        <f>transport!K14</f>
        <v>0</v>
      </c>
      <c r="M20" s="1013">
        <f>transport!L14</f>
        <v>0</v>
      </c>
      <c r="N20" s="1013">
        <f>transport!M14</f>
        <v>6858.0880171381441</v>
      </c>
      <c r="O20" s="1013">
        <f>transport!N14</f>
        <v>0</v>
      </c>
      <c r="P20" s="1013">
        <f>transport!O14</f>
        <v>0</v>
      </c>
      <c r="Q20" s="1014">
        <f>transport!P14</f>
        <v>0</v>
      </c>
      <c r="R20" s="700">
        <f>SUM(C20:Q20)</f>
        <v>136125.14790841824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60.659130319354105</v>
      </c>
      <c r="D22" s="812">
        <f t="shared" ref="D22:R22" si="1">SUM(D18:D21)</f>
        <v>0</v>
      </c>
      <c r="E22" s="812">
        <f t="shared" si="1"/>
        <v>202.80300767184025</v>
      </c>
      <c r="F22" s="812">
        <f t="shared" si="1"/>
        <v>272.24595179142597</v>
      </c>
      <c r="G22" s="812">
        <f t="shared" si="1"/>
        <v>0</v>
      </c>
      <c r="H22" s="812">
        <f t="shared" si="1"/>
        <v>107671.40384728624</v>
      </c>
      <c r="I22" s="812">
        <f t="shared" si="1"/>
        <v>22924.576504572269</v>
      </c>
      <c r="J22" s="812">
        <f t="shared" si="1"/>
        <v>0</v>
      </c>
      <c r="K22" s="812">
        <f t="shared" si="1"/>
        <v>0</v>
      </c>
      <c r="L22" s="812">
        <f t="shared" si="1"/>
        <v>0</v>
      </c>
      <c r="M22" s="812">
        <f t="shared" si="1"/>
        <v>0</v>
      </c>
      <c r="N22" s="812">
        <f t="shared" si="1"/>
        <v>6963.9906872534875</v>
      </c>
      <c r="O22" s="812">
        <f t="shared" si="1"/>
        <v>0</v>
      </c>
      <c r="P22" s="812">
        <f t="shared" si="1"/>
        <v>0</v>
      </c>
      <c r="Q22" s="812">
        <f t="shared" si="1"/>
        <v>0</v>
      </c>
      <c r="R22" s="812">
        <f t="shared" si="1"/>
        <v>138095.67912889464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9783.4557074118766</v>
      </c>
      <c r="D24" s="1013">
        <f>+landbouw!C8</f>
        <v>268.07142857142856</v>
      </c>
      <c r="E24" s="1013">
        <f>+landbouw!D8</f>
        <v>958.51481000000001</v>
      </c>
      <c r="F24" s="1013">
        <f>+landbouw!E8</f>
        <v>287.5656453636048</v>
      </c>
      <c r="G24" s="1013">
        <f>+landbouw!F8</f>
        <v>40757.347806880112</v>
      </c>
      <c r="H24" s="1013">
        <f>+landbouw!G8</f>
        <v>0</v>
      </c>
      <c r="I24" s="1013">
        <f>+landbouw!H8</f>
        <v>0</v>
      </c>
      <c r="J24" s="1013">
        <f>+landbouw!I8</f>
        <v>0</v>
      </c>
      <c r="K24" s="1013">
        <f>+landbouw!J8</f>
        <v>1417.4126298876488</v>
      </c>
      <c r="L24" s="1013">
        <f>+landbouw!K8</f>
        <v>0</v>
      </c>
      <c r="M24" s="1013">
        <f>+landbouw!L8</f>
        <v>0</v>
      </c>
      <c r="N24" s="1013">
        <f>+landbouw!M8</f>
        <v>0</v>
      </c>
      <c r="O24" s="1013">
        <f>+landbouw!N8</f>
        <v>0</v>
      </c>
      <c r="P24" s="1013">
        <f>+landbouw!O8</f>
        <v>0</v>
      </c>
      <c r="Q24" s="1014">
        <f>+landbouw!P8</f>
        <v>0</v>
      </c>
      <c r="R24" s="700">
        <f>SUM(C24:Q24)</f>
        <v>53472.368028114674</v>
      </c>
      <c r="S24" s="67"/>
    </row>
    <row r="25" spans="1:19" s="473" customFormat="1" ht="15" thickBot="1">
      <c r="A25" s="831" t="s">
        <v>836</v>
      </c>
      <c r="B25" s="1016"/>
      <c r="C25" s="1017">
        <f>IF(Onbekend_ele_kWh="---",0,Onbekend_ele_kWh)/1000+IF(REST_rest_ele_kWh="---",0,REST_rest_ele_kWh)/1000</f>
        <v>787.72655000000009</v>
      </c>
      <c r="D25" s="1017"/>
      <c r="E25" s="1017">
        <f>IF(onbekend_gas_kWh="---",0,onbekend_gas_kWh)/1000+IF(REST_rest_gas_kWh="---",0,REST_rest_gas_kWh)/1000</f>
        <v>4002.1060950000001</v>
      </c>
      <c r="F25" s="1017"/>
      <c r="G25" s="1017"/>
      <c r="H25" s="1017"/>
      <c r="I25" s="1017"/>
      <c r="J25" s="1017"/>
      <c r="K25" s="1017"/>
      <c r="L25" s="1017"/>
      <c r="M25" s="1017"/>
      <c r="N25" s="1017"/>
      <c r="O25" s="1017"/>
      <c r="P25" s="1017"/>
      <c r="Q25" s="1018"/>
      <c r="R25" s="700">
        <f>SUM(C25:Q25)</f>
        <v>4789.8326450000004</v>
      </c>
      <c r="S25" s="67"/>
    </row>
    <row r="26" spans="1:19" s="473" customFormat="1" ht="15.75" thickBot="1">
      <c r="A26" s="705" t="s">
        <v>837</v>
      </c>
      <c r="B26" s="817"/>
      <c r="C26" s="812">
        <f>SUM(C24:C25)</f>
        <v>10571.182257411876</v>
      </c>
      <c r="D26" s="812">
        <f t="shared" ref="D26:R26" si="2">SUM(D24:D25)</f>
        <v>268.07142857142856</v>
      </c>
      <c r="E26" s="812">
        <f t="shared" si="2"/>
        <v>4960.6209049999998</v>
      </c>
      <c r="F26" s="812">
        <f t="shared" si="2"/>
        <v>287.5656453636048</v>
      </c>
      <c r="G26" s="812">
        <f t="shared" si="2"/>
        <v>40757.347806880112</v>
      </c>
      <c r="H26" s="812">
        <f t="shared" si="2"/>
        <v>0</v>
      </c>
      <c r="I26" s="812">
        <f t="shared" si="2"/>
        <v>0</v>
      </c>
      <c r="J26" s="812">
        <f t="shared" si="2"/>
        <v>0</v>
      </c>
      <c r="K26" s="812">
        <f t="shared" si="2"/>
        <v>1417.4126298876488</v>
      </c>
      <c r="L26" s="812">
        <f t="shared" si="2"/>
        <v>0</v>
      </c>
      <c r="M26" s="812">
        <f t="shared" si="2"/>
        <v>0</v>
      </c>
      <c r="N26" s="812">
        <f t="shared" si="2"/>
        <v>0</v>
      </c>
      <c r="O26" s="812">
        <f t="shared" si="2"/>
        <v>0</v>
      </c>
      <c r="P26" s="812">
        <f t="shared" si="2"/>
        <v>0</v>
      </c>
      <c r="Q26" s="812">
        <f t="shared" si="2"/>
        <v>0</v>
      </c>
      <c r="R26" s="812">
        <f t="shared" si="2"/>
        <v>58262.200673114676</v>
      </c>
      <c r="S26" s="67"/>
    </row>
    <row r="27" spans="1:19" s="473" customFormat="1" ht="17.25" thickTop="1" thickBot="1">
      <c r="A27" s="706" t="s">
        <v>116</v>
      </c>
      <c r="B27" s="805"/>
      <c r="C27" s="707">
        <f ca="1">C22+C16+C26</f>
        <v>89484.690191206115</v>
      </c>
      <c r="D27" s="707">
        <f t="shared" ref="D27:R27" ca="1" si="3">D22+D16+D26</f>
        <v>268.07142857142856</v>
      </c>
      <c r="E27" s="707">
        <f t="shared" ca="1" si="3"/>
        <v>87457.761377549847</v>
      </c>
      <c r="F27" s="707">
        <f t="shared" si="3"/>
        <v>15231.168093086897</v>
      </c>
      <c r="G27" s="707">
        <f t="shared" ca="1" si="3"/>
        <v>67624.065853315769</v>
      </c>
      <c r="H27" s="707">
        <f t="shared" si="3"/>
        <v>107671.40384728624</v>
      </c>
      <c r="I27" s="707">
        <f t="shared" si="3"/>
        <v>22924.576504572269</v>
      </c>
      <c r="J27" s="707">
        <f t="shared" si="3"/>
        <v>0</v>
      </c>
      <c r="K27" s="707">
        <f t="shared" si="3"/>
        <v>5004.7994118489069</v>
      </c>
      <c r="L27" s="707">
        <f t="shared" si="3"/>
        <v>0</v>
      </c>
      <c r="M27" s="707">
        <f t="shared" ca="1" si="3"/>
        <v>0</v>
      </c>
      <c r="N27" s="707">
        <f t="shared" si="3"/>
        <v>6963.9906872534875</v>
      </c>
      <c r="O27" s="707">
        <f t="shared" ca="1" si="3"/>
        <v>43954.076034385937</v>
      </c>
      <c r="P27" s="707">
        <f t="shared" si="3"/>
        <v>337.68</v>
      </c>
      <c r="Q27" s="707">
        <f t="shared" si="3"/>
        <v>686.40000000000009</v>
      </c>
      <c r="R27" s="707">
        <f t="shared" ca="1" si="3"/>
        <v>447608.68342907698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5481.2539370967615</v>
      </c>
      <c r="D40" s="1013">
        <f ca="1">tertiair!C20</f>
        <v>0</v>
      </c>
      <c r="E40" s="1013">
        <f ca="1">tertiair!D20</f>
        <v>4245.3247792734683</v>
      </c>
      <c r="F40" s="1013">
        <f>tertiair!E20</f>
        <v>89.349673375085544</v>
      </c>
      <c r="G40" s="1013">
        <f ca="1">tertiair!F20</f>
        <v>1504.3655093594</v>
      </c>
      <c r="H40" s="1013">
        <f>tertiair!G20</f>
        <v>0</v>
      </c>
      <c r="I40" s="1013">
        <f>tertiair!H20</f>
        <v>0</v>
      </c>
      <c r="J40" s="1013">
        <f>tertiair!I20</f>
        <v>0</v>
      </c>
      <c r="K40" s="1013">
        <f>tertiair!J20</f>
        <v>7.2523864958833201E-2</v>
      </c>
      <c r="L40" s="1013">
        <f>tertiair!K20</f>
        <v>0</v>
      </c>
      <c r="M40" s="1013">
        <f ca="1">tertiair!L20</f>
        <v>0</v>
      </c>
      <c r="N40" s="1013">
        <f>tertiair!M20</f>
        <v>0</v>
      </c>
      <c r="O40" s="1013">
        <f ca="1">tertiair!N20</f>
        <v>0</v>
      </c>
      <c r="P40" s="1013">
        <f>tertiair!O20</f>
        <v>0</v>
      </c>
      <c r="Q40" s="774">
        <f>tertiair!P20</f>
        <v>0</v>
      </c>
      <c r="R40" s="850">
        <f t="shared" ca="1" si="4"/>
        <v>11320.366422969675</v>
      </c>
    </row>
    <row r="41" spans="1:18">
      <c r="A41" s="822" t="s">
        <v>225</v>
      </c>
      <c r="B41" s="829"/>
      <c r="C41" s="1013">
        <f ca="1">huishoudens!B12</f>
        <v>5096.7861873043403</v>
      </c>
      <c r="D41" s="1013">
        <f ca="1">huishoudens!C12</f>
        <v>0</v>
      </c>
      <c r="E41" s="1013">
        <f>huishoudens!D12</f>
        <v>10779.649351924201</v>
      </c>
      <c r="F41" s="1013">
        <f>huishoudens!E12</f>
        <v>2355.3940241274327</v>
      </c>
      <c r="G41" s="1013">
        <f>huishoudens!F12</f>
        <v>2649.4357320057752</v>
      </c>
      <c r="H41" s="1013">
        <f>huishoudens!G12</f>
        <v>0</v>
      </c>
      <c r="I41" s="1013">
        <f>huishoudens!H12</f>
        <v>0</v>
      </c>
      <c r="J41" s="1013">
        <f>huishoudens!I12</f>
        <v>0</v>
      </c>
      <c r="K41" s="1013">
        <f>huishoudens!J12</f>
        <v>1269.4352394200657</v>
      </c>
      <c r="L41" s="1013">
        <f>huishoudens!K12</f>
        <v>0</v>
      </c>
      <c r="M41" s="1013">
        <f>huishoudens!L12</f>
        <v>0</v>
      </c>
      <c r="N41" s="1013">
        <f>huishoudens!M12</f>
        <v>0</v>
      </c>
      <c r="O41" s="1013">
        <f>huishoudens!N12</f>
        <v>0</v>
      </c>
      <c r="P41" s="1013">
        <f>huishoudens!O12</f>
        <v>0</v>
      </c>
      <c r="Q41" s="774">
        <f>huishoudens!P12</f>
        <v>0</v>
      </c>
      <c r="R41" s="850">
        <f t="shared" ca="1" si="4"/>
        <v>22150.700534781816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4325.7671567888692</v>
      </c>
      <c r="D43" s="1013">
        <f ca="1">industrie!C22</f>
        <v>0</v>
      </c>
      <c r="E43" s="1013">
        <f>industrie!D22</f>
        <v>1598.4820367076882</v>
      </c>
      <c r="F43" s="1013">
        <f>industrie!E22</f>
        <v>885.65422707401524</v>
      </c>
      <c r="G43" s="1013">
        <f>industrie!F22</f>
        <v>3019.6124770331448</v>
      </c>
      <c r="H43" s="1013">
        <f>industrie!G22</f>
        <v>0</v>
      </c>
      <c r="I43" s="1013">
        <f>industrie!H22</f>
        <v>0</v>
      </c>
      <c r="J43" s="1013">
        <f>industrie!I22</f>
        <v>0</v>
      </c>
      <c r="K43" s="1013">
        <f>industrie!J22</f>
        <v>0.42715752926075806</v>
      </c>
      <c r="L43" s="1013">
        <f>industrie!K22</f>
        <v>0</v>
      </c>
      <c r="M43" s="1013">
        <f>industrie!L22</f>
        <v>0</v>
      </c>
      <c r="N43" s="1013">
        <f>industrie!M22</f>
        <v>0</v>
      </c>
      <c r="O43" s="1013">
        <f>industrie!N22</f>
        <v>0</v>
      </c>
      <c r="P43" s="1013">
        <f>industrie!O22</f>
        <v>0</v>
      </c>
      <c r="Q43" s="774">
        <f>industrie!P22</f>
        <v>0</v>
      </c>
      <c r="R43" s="849">
        <f t="shared" ca="1" si="4"/>
        <v>9829.9430551329788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14903.807281189969</v>
      </c>
      <c r="D46" s="732">
        <f t="shared" ref="D46:Q46" ca="1" si="5">SUM(D39:D45)</f>
        <v>0</v>
      </c>
      <c r="E46" s="732">
        <f t="shared" ca="1" si="5"/>
        <v>16623.456167905359</v>
      </c>
      <c r="F46" s="732">
        <f t="shared" si="5"/>
        <v>3330.3979245765331</v>
      </c>
      <c r="G46" s="732">
        <f t="shared" ca="1" si="5"/>
        <v>7173.4137183983203</v>
      </c>
      <c r="H46" s="732">
        <f t="shared" si="5"/>
        <v>0</v>
      </c>
      <c r="I46" s="732">
        <f t="shared" si="5"/>
        <v>0</v>
      </c>
      <c r="J46" s="732">
        <f t="shared" si="5"/>
        <v>0</v>
      </c>
      <c r="K46" s="732">
        <f t="shared" si="5"/>
        <v>1269.9349208142853</v>
      </c>
      <c r="L46" s="732">
        <f t="shared" si="5"/>
        <v>0</v>
      </c>
      <c r="M46" s="732">
        <f t="shared" ca="1" si="5"/>
        <v>0</v>
      </c>
      <c r="N46" s="732">
        <f t="shared" si="5"/>
        <v>0</v>
      </c>
      <c r="O46" s="732">
        <f t="shared" ca="1" si="5"/>
        <v>0</v>
      </c>
      <c r="P46" s="732">
        <f t="shared" si="5"/>
        <v>0</v>
      </c>
      <c r="Q46" s="732">
        <f t="shared" si="5"/>
        <v>0</v>
      </c>
      <c r="R46" s="732">
        <f ca="1">SUM(R39:R45)</f>
        <v>43301.010012884472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497.85582294640318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497.85582294640318</v>
      </c>
    </row>
    <row r="50" spans="1:18">
      <c r="A50" s="825" t="s">
        <v>307</v>
      </c>
      <c r="B50" s="835"/>
      <c r="C50" s="703">
        <f ca="1">transport!B18</f>
        <v>11.465051698733317</v>
      </c>
      <c r="D50" s="703">
        <f>transport!C18</f>
        <v>0</v>
      </c>
      <c r="E50" s="703">
        <f>transport!D18</f>
        <v>40.966207549711733</v>
      </c>
      <c r="F50" s="703">
        <f>transport!E18</f>
        <v>61.799831056653694</v>
      </c>
      <c r="G50" s="703">
        <f>transport!F18</f>
        <v>0</v>
      </c>
      <c r="H50" s="703">
        <f>transport!G18</f>
        <v>28250.409004279027</v>
      </c>
      <c r="I50" s="703">
        <f>transport!H18</f>
        <v>5708.2195496384948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34072.859644222619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11.465051698733317</v>
      </c>
      <c r="D52" s="732">
        <f t="shared" ref="D52:Q52" ca="1" si="6">SUM(D48:D51)</f>
        <v>0</v>
      </c>
      <c r="E52" s="732">
        <f t="shared" si="6"/>
        <v>40.966207549711733</v>
      </c>
      <c r="F52" s="732">
        <f t="shared" si="6"/>
        <v>61.799831056653694</v>
      </c>
      <c r="G52" s="732">
        <f t="shared" si="6"/>
        <v>0</v>
      </c>
      <c r="H52" s="732">
        <f t="shared" si="6"/>
        <v>28748.26482722543</v>
      </c>
      <c r="I52" s="732">
        <f t="shared" si="6"/>
        <v>5708.2195496384948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34570.715467169022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1849.1499117644958</v>
      </c>
      <c r="D54" s="703">
        <f ca="1">+landbouw!C12</f>
        <v>0</v>
      </c>
      <c r="E54" s="703">
        <f>+landbouw!D12</f>
        <v>193.61999162000001</v>
      </c>
      <c r="F54" s="703">
        <f>+landbouw!E12</f>
        <v>65.277401497538293</v>
      </c>
      <c r="G54" s="703">
        <f>+landbouw!F12</f>
        <v>10882.211864436991</v>
      </c>
      <c r="H54" s="703">
        <f>+landbouw!G12</f>
        <v>0</v>
      </c>
      <c r="I54" s="703">
        <f>+landbouw!H12</f>
        <v>0</v>
      </c>
      <c r="J54" s="703">
        <f>+landbouw!I12</f>
        <v>0</v>
      </c>
      <c r="K54" s="703">
        <f>+landbouw!J12</f>
        <v>501.76407098022764</v>
      </c>
      <c r="L54" s="703">
        <f>+landbouw!K12</f>
        <v>0</v>
      </c>
      <c r="M54" s="703">
        <f>+landbouw!L12</f>
        <v>0</v>
      </c>
      <c r="N54" s="703">
        <f>+landbouw!M12</f>
        <v>0</v>
      </c>
      <c r="O54" s="703">
        <f>+landbouw!N12</f>
        <v>0</v>
      </c>
      <c r="P54" s="703">
        <f>+landbouw!O12</f>
        <v>0</v>
      </c>
      <c r="Q54" s="704">
        <f>+landbouw!P12</f>
        <v>0</v>
      </c>
      <c r="R54" s="731">
        <f ca="1">SUM(C54:Q54)</f>
        <v>13492.023240299253</v>
      </c>
    </row>
    <row r="55" spans="1:18" ht="15" thickBot="1">
      <c r="A55" s="825" t="s">
        <v>836</v>
      </c>
      <c r="B55" s="835"/>
      <c r="C55" s="703">
        <f ca="1">C25*'EF ele_warmte'!B12</f>
        <v>148.88650022951731</v>
      </c>
      <c r="D55" s="703"/>
      <c r="E55" s="703">
        <f>E25*EF_CO2_aardgas</f>
        <v>808.42543119000004</v>
      </c>
      <c r="F55" s="703"/>
      <c r="G55" s="703"/>
      <c r="H55" s="703"/>
      <c r="I55" s="703"/>
      <c r="J55" s="703"/>
      <c r="K55" s="703"/>
      <c r="L55" s="703"/>
      <c r="M55" s="703"/>
      <c r="N55" s="703"/>
      <c r="O55" s="703"/>
      <c r="P55" s="703"/>
      <c r="Q55" s="704"/>
      <c r="R55" s="731">
        <f ca="1">SUM(C55:Q55)</f>
        <v>957.31193141951735</v>
      </c>
    </row>
    <row r="56" spans="1:18" ht="15.75" thickBot="1">
      <c r="A56" s="823" t="s">
        <v>837</v>
      </c>
      <c r="B56" s="836"/>
      <c r="C56" s="732">
        <f ca="1">SUM(C54:C55)</f>
        <v>1998.0364119940132</v>
      </c>
      <c r="D56" s="732">
        <f t="shared" ref="D56:Q56" ca="1" si="7">SUM(D54:D55)</f>
        <v>0</v>
      </c>
      <c r="E56" s="732">
        <f t="shared" si="7"/>
        <v>1002.04542281</v>
      </c>
      <c r="F56" s="732">
        <f t="shared" si="7"/>
        <v>65.277401497538293</v>
      </c>
      <c r="G56" s="732">
        <f t="shared" si="7"/>
        <v>10882.211864436991</v>
      </c>
      <c r="H56" s="732">
        <f t="shared" si="7"/>
        <v>0</v>
      </c>
      <c r="I56" s="732">
        <f t="shared" si="7"/>
        <v>0</v>
      </c>
      <c r="J56" s="732">
        <f t="shared" si="7"/>
        <v>0</v>
      </c>
      <c r="K56" s="732">
        <f t="shared" si="7"/>
        <v>501.76407098022764</v>
      </c>
      <c r="L56" s="732">
        <f t="shared" si="7"/>
        <v>0</v>
      </c>
      <c r="M56" s="732">
        <f t="shared" si="7"/>
        <v>0</v>
      </c>
      <c r="N56" s="732">
        <f t="shared" si="7"/>
        <v>0</v>
      </c>
      <c r="O56" s="732">
        <f t="shared" si="7"/>
        <v>0</v>
      </c>
      <c r="P56" s="732">
        <f t="shared" si="7"/>
        <v>0</v>
      </c>
      <c r="Q56" s="733">
        <f t="shared" si="7"/>
        <v>0</v>
      </c>
      <c r="R56" s="734">
        <f ca="1">SUM(R54:R55)</f>
        <v>14449.335171718771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16913.308744882714</v>
      </c>
      <c r="D61" s="740">
        <f t="shared" ref="D61:Q61" ca="1" si="8">D46+D52+D56</f>
        <v>0</v>
      </c>
      <c r="E61" s="740">
        <f t="shared" ca="1" si="8"/>
        <v>17666.467798265068</v>
      </c>
      <c r="F61" s="740">
        <f t="shared" si="8"/>
        <v>3457.4751571307252</v>
      </c>
      <c r="G61" s="740">
        <f t="shared" ca="1" si="8"/>
        <v>18055.62558283531</v>
      </c>
      <c r="H61" s="740">
        <f t="shared" si="8"/>
        <v>28748.26482722543</v>
      </c>
      <c r="I61" s="740">
        <f t="shared" si="8"/>
        <v>5708.2195496384948</v>
      </c>
      <c r="J61" s="740">
        <f t="shared" si="8"/>
        <v>0</v>
      </c>
      <c r="K61" s="740">
        <f t="shared" si="8"/>
        <v>1771.6989917945129</v>
      </c>
      <c r="L61" s="740">
        <f t="shared" si="8"/>
        <v>0</v>
      </c>
      <c r="M61" s="740">
        <f t="shared" ca="1" si="8"/>
        <v>0</v>
      </c>
      <c r="N61" s="740">
        <f t="shared" si="8"/>
        <v>0</v>
      </c>
      <c r="O61" s="740">
        <f t="shared" ca="1" si="8"/>
        <v>0</v>
      </c>
      <c r="P61" s="740">
        <f t="shared" si="8"/>
        <v>0</v>
      </c>
      <c r="Q61" s="740">
        <f t="shared" si="8"/>
        <v>0</v>
      </c>
      <c r="R61" s="740">
        <f ca="1">R46+R52+R56</f>
        <v>92321.060651772263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0.18900784825586653</v>
      </c>
      <c r="D63" s="781">
        <f t="shared" ca="1" si="9"/>
        <v>0</v>
      </c>
      <c r="E63" s="1024">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2755.9170004074117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8309.3143904244171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187.64999999999998</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220.76470588235293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1701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4860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12953.881390831828</v>
      </c>
      <c r="C78" s="755">
        <f>SUM(C72:C77)</f>
        <v>0</v>
      </c>
      <c r="D78" s="756">
        <f t="shared" ref="D78:H78" si="10">SUM(D76:D77)</f>
        <v>0</v>
      </c>
      <c r="E78" s="756">
        <f t="shared" si="10"/>
        <v>0</v>
      </c>
      <c r="F78" s="756">
        <f t="shared" si="10"/>
        <v>0</v>
      </c>
      <c r="G78" s="756">
        <f t="shared" si="10"/>
        <v>0</v>
      </c>
      <c r="H78" s="756">
        <f t="shared" si="10"/>
        <v>0</v>
      </c>
      <c r="I78" s="756">
        <f>SUM(I76:I77)</f>
        <v>0</v>
      </c>
      <c r="J78" s="756">
        <f>SUM(J76:J77)</f>
        <v>5080.7647058823532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268.07142857142856</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315.37815126050418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268.07142857142856</v>
      </c>
      <c r="C90" s="755">
        <f>SUM(C87:C89)</f>
        <v>0</v>
      </c>
      <c r="D90" s="755">
        <f t="shared" ref="D90:H90" si="12">SUM(D87:D89)</f>
        <v>0</v>
      </c>
      <c r="E90" s="755">
        <f t="shared" si="12"/>
        <v>0</v>
      </c>
      <c r="F90" s="755">
        <f t="shared" si="12"/>
        <v>0</v>
      </c>
      <c r="G90" s="755">
        <f t="shared" si="12"/>
        <v>0</v>
      </c>
      <c r="H90" s="755">
        <f t="shared" si="12"/>
        <v>0</v>
      </c>
      <c r="I90" s="755">
        <f>SUM(I87:I89)</f>
        <v>0</v>
      </c>
      <c r="J90" s="755">
        <f>SUM(J87:J89)</f>
        <v>315.37815126050418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2755.9170004074117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8309.3143904244171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187.64999999999998</v>
      </c>
      <c r="C8" s="570">
        <f>B101</f>
        <v>0</v>
      </c>
      <c r="D8" s="1044"/>
      <c r="E8" s="1044">
        <f>E101</f>
        <v>0</v>
      </c>
      <c r="F8" s="1045"/>
      <c r="G8" s="571"/>
      <c r="H8" s="1044">
        <f>I101</f>
        <v>0</v>
      </c>
      <c r="I8" s="1044">
        <f>G101+F101</f>
        <v>0</v>
      </c>
      <c r="J8" s="1044">
        <f>H101+D101+C101</f>
        <v>220.76470588235293</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1701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12953.881390831828</v>
      </c>
      <c r="C10" s="583">
        <f t="shared" ref="C10:L10" si="0">SUM(C8:C9)</f>
        <v>0</v>
      </c>
      <c r="D10" s="583">
        <f t="shared" si="0"/>
        <v>0</v>
      </c>
      <c r="E10" s="583">
        <f t="shared" si="0"/>
        <v>0</v>
      </c>
      <c r="F10" s="583">
        <f t="shared" si="0"/>
        <v>0</v>
      </c>
      <c r="G10" s="583">
        <f t="shared" si="0"/>
        <v>0</v>
      </c>
      <c r="H10" s="583">
        <f t="shared" si="0"/>
        <v>0</v>
      </c>
      <c r="I10" s="583">
        <f t="shared" si="0"/>
        <v>0</v>
      </c>
      <c r="J10" s="583">
        <f t="shared" si="0"/>
        <v>5080.7647058823532</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268.07142857142856</v>
      </c>
      <c r="C17" s="595">
        <f>B102</f>
        <v>0</v>
      </c>
      <c r="D17" s="596"/>
      <c r="E17" s="596">
        <f>E102</f>
        <v>0</v>
      </c>
      <c r="F17" s="1050"/>
      <c r="G17" s="597"/>
      <c r="H17" s="595">
        <f>I102</f>
        <v>0</v>
      </c>
      <c r="I17" s="596">
        <f>G102+F102</f>
        <v>0</v>
      </c>
      <c r="J17" s="596">
        <f>H102+D102+C102</f>
        <v>315.37815126050418</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268.07142857142856</v>
      </c>
      <c r="C20" s="582">
        <f>SUM(C17:C19)</f>
        <v>0</v>
      </c>
      <c r="D20" s="582">
        <f t="shared" ref="D20:L20" si="1">SUM(D17:D19)</f>
        <v>0</v>
      </c>
      <c r="E20" s="582">
        <f t="shared" si="1"/>
        <v>0</v>
      </c>
      <c r="F20" s="582">
        <f t="shared" si="1"/>
        <v>0</v>
      </c>
      <c r="G20" s="582">
        <f t="shared" si="1"/>
        <v>0</v>
      </c>
      <c r="H20" s="582">
        <f t="shared" si="1"/>
        <v>0</v>
      </c>
      <c r="I20" s="582">
        <f t="shared" si="1"/>
        <v>0</v>
      </c>
      <c r="J20" s="582">
        <f t="shared" si="1"/>
        <v>315.37815126050418</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32003</v>
      </c>
      <c r="C28" s="796">
        <v>8600</v>
      </c>
      <c r="D28" s="653" t="s">
        <v>881</v>
      </c>
      <c r="E28" s="652" t="s">
        <v>882</v>
      </c>
      <c r="F28" s="652" t="s">
        <v>883</v>
      </c>
      <c r="G28" s="652" t="s">
        <v>884</v>
      </c>
      <c r="H28" s="652" t="s">
        <v>885</v>
      </c>
      <c r="I28" s="652" t="s">
        <v>886</v>
      </c>
      <c r="J28" s="795">
        <v>41117</v>
      </c>
      <c r="K28" s="795">
        <v>41244</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32003</v>
      </c>
      <c r="C29" s="796">
        <v>8600</v>
      </c>
      <c r="D29" s="653"/>
      <c r="E29" s="652"/>
      <c r="F29" s="652" t="s">
        <v>888</v>
      </c>
      <c r="G29" s="652" t="s">
        <v>884</v>
      </c>
      <c r="H29" s="652" t="s">
        <v>885</v>
      </c>
      <c r="I29" s="652" t="s">
        <v>889</v>
      </c>
      <c r="J29" s="795">
        <v>40882</v>
      </c>
      <c r="K29" s="795">
        <v>41250</v>
      </c>
      <c r="L29" s="652" t="s">
        <v>890</v>
      </c>
      <c r="M29" s="652">
        <v>32</v>
      </c>
      <c r="N29" s="652">
        <v>144</v>
      </c>
      <c r="O29" s="652">
        <v>205.71428571428572</v>
      </c>
      <c r="P29" s="652">
        <v>0</v>
      </c>
      <c r="Q29" s="652">
        <v>0</v>
      </c>
      <c r="R29" s="652">
        <v>0</v>
      </c>
      <c r="S29" s="652">
        <v>0</v>
      </c>
      <c r="T29" s="652">
        <v>0</v>
      </c>
      <c r="U29" s="652">
        <v>0</v>
      </c>
      <c r="V29" s="652">
        <v>411.42857142857144</v>
      </c>
      <c r="W29" s="652">
        <v>0</v>
      </c>
      <c r="X29" s="652">
        <v>10</v>
      </c>
      <c r="Y29" s="652" t="s">
        <v>891</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41.7</v>
      </c>
      <c r="N58" s="610">
        <f>SUM(N28:N57)</f>
        <v>187.64999999999998</v>
      </c>
      <c r="O58" s="610">
        <f t="shared" ref="O58:W58" si="2">SUM(O28:O57)</f>
        <v>268.07142857142856</v>
      </c>
      <c r="P58" s="610">
        <f t="shared" si="2"/>
        <v>0</v>
      </c>
      <c r="Q58" s="610">
        <f t="shared" si="2"/>
        <v>124.71428571428569</v>
      </c>
      <c r="R58" s="610">
        <f t="shared" si="2"/>
        <v>0</v>
      </c>
      <c r="S58" s="610">
        <f t="shared" si="2"/>
        <v>0</v>
      </c>
      <c r="T58" s="610">
        <f t="shared" si="2"/>
        <v>0</v>
      </c>
      <c r="U58" s="610">
        <f t="shared" si="2"/>
        <v>0</v>
      </c>
      <c r="V58" s="610">
        <f t="shared" si="2"/>
        <v>411.42857142857144</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41.7</v>
      </c>
      <c r="N61" s="615">
        <f t="shared" si="4"/>
        <v>187.64999999999998</v>
      </c>
      <c r="O61" s="615">
        <f t="shared" si="4"/>
        <v>268.07142857142856</v>
      </c>
      <c r="P61" s="615">
        <f t="shared" si="4"/>
        <v>0</v>
      </c>
      <c r="Q61" s="615">
        <f t="shared" si="4"/>
        <v>124.71428571428569</v>
      </c>
      <c r="R61" s="615">
        <f t="shared" si="4"/>
        <v>0</v>
      </c>
      <c r="S61" s="615">
        <f t="shared" si="4"/>
        <v>0</v>
      </c>
      <c r="T61" s="615">
        <f t="shared" si="4"/>
        <v>0</v>
      </c>
      <c r="U61" s="615">
        <f t="shared" si="4"/>
        <v>0</v>
      </c>
      <c r="V61" s="615">
        <f t="shared" si="4"/>
        <v>411.42857142857144</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32003</v>
      </c>
      <c r="C64" s="796">
        <v>8600</v>
      </c>
      <c r="D64" s="655" t="s">
        <v>892</v>
      </c>
      <c r="E64" s="655" t="s">
        <v>893</v>
      </c>
      <c r="F64" s="655" t="s">
        <v>894</v>
      </c>
      <c r="G64" s="655" t="s">
        <v>895</v>
      </c>
      <c r="H64" s="655" t="s">
        <v>896</v>
      </c>
      <c r="I64" s="655" t="s">
        <v>897</v>
      </c>
      <c r="J64" s="795">
        <v>39340</v>
      </c>
      <c r="K64" s="795">
        <v>40704</v>
      </c>
      <c r="L64" s="655" t="s">
        <v>887</v>
      </c>
      <c r="M64" s="655">
        <v>378</v>
      </c>
      <c r="N64" s="655">
        <v>1701</v>
      </c>
      <c r="O64" s="655">
        <v>0</v>
      </c>
      <c r="P64" s="655">
        <v>0</v>
      </c>
      <c r="Q64" s="655">
        <v>0</v>
      </c>
      <c r="R64" s="655">
        <v>0</v>
      </c>
      <c r="S64" s="655">
        <v>0</v>
      </c>
      <c r="T64" s="655">
        <v>0</v>
      </c>
      <c r="U64" s="655">
        <v>0</v>
      </c>
      <c r="V64" s="655">
        <v>4860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378</v>
      </c>
      <c r="N89" s="610">
        <f t="shared" ref="N89:W89" si="5">SUM(N64:N88)</f>
        <v>1701</v>
      </c>
      <c r="O89" s="610">
        <f t="shared" si="5"/>
        <v>0</v>
      </c>
      <c r="P89" s="610">
        <f t="shared" si="5"/>
        <v>0</v>
      </c>
      <c r="Q89" s="610">
        <f t="shared" si="5"/>
        <v>0</v>
      </c>
      <c r="R89" s="610">
        <f t="shared" si="5"/>
        <v>0</v>
      </c>
      <c r="S89" s="610">
        <f t="shared" si="5"/>
        <v>0</v>
      </c>
      <c r="T89" s="610">
        <f t="shared" si="5"/>
        <v>0</v>
      </c>
      <c r="U89" s="610">
        <f t="shared" si="5"/>
        <v>0</v>
      </c>
      <c r="V89" s="610">
        <f t="shared" si="5"/>
        <v>4860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378</v>
      </c>
      <c r="N92" s="615">
        <f t="shared" si="8"/>
        <v>1701</v>
      </c>
      <c r="O92" s="615">
        <f t="shared" si="8"/>
        <v>0</v>
      </c>
      <c r="P92" s="615">
        <f t="shared" si="8"/>
        <v>0</v>
      </c>
      <c r="Q92" s="615">
        <f t="shared" si="8"/>
        <v>0</v>
      </c>
      <c r="R92" s="615">
        <f t="shared" si="8"/>
        <v>0</v>
      </c>
      <c r="S92" s="615">
        <f t="shared" si="8"/>
        <v>0</v>
      </c>
      <c r="T92" s="615">
        <f t="shared" si="8"/>
        <v>0</v>
      </c>
      <c r="U92" s="615">
        <f t="shared" si="8"/>
        <v>0</v>
      </c>
      <c r="V92" s="615">
        <f t="shared" si="8"/>
        <v>4860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169.41176470588235</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242.0168067226891</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26966.002916474881</v>
      </c>
      <c r="C4" s="477">
        <f>huishoudens!C8</f>
        <v>0</v>
      </c>
      <c r="D4" s="477">
        <f>huishoudens!D8</f>
        <v>53364.600752099999</v>
      </c>
      <c r="E4" s="477">
        <f>huishoudens!E8</f>
        <v>10376.185128314681</v>
      </c>
      <c r="F4" s="477">
        <f>huishoudens!F8</f>
        <v>9922.9802696845509</v>
      </c>
      <c r="G4" s="477">
        <f>huishoudens!G8</f>
        <v>0</v>
      </c>
      <c r="H4" s="477">
        <f>huishoudens!H8</f>
        <v>0</v>
      </c>
      <c r="I4" s="477">
        <f>huishoudens!I8</f>
        <v>0</v>
      </c>
      <c r="J4" s="477">
        <f>huishoudens!J8</f>
        <v>3585.9752525990561</v>
      </c>
      <c r="K4" s="477">
        <f>huishoudens!K8</f>
        <v>0</v>
      </c>
      <c r="L4" s="477">
        <f>huishoudens!L8</f>
        <v>0</v>
      </c>
      <c r="M4" s="477">
        <f>huishoudens!M8</f>
        <v>0</v>
      </c>
      <c r="N4" s="477">
        <f>huishoudens!N8</f>
        <v>30214.969786537004</v>
      </c>
      <c r="O4" s="477">
        <f>huishoudens!O8</f>
        <v>334.55333333333334</v>
      </c>
      <c r="P4" s="478">
        <f>huishoudens!P8</f>
        <v>667.33333333333337</v>
      </c>
      <c r="Q4" s="479">
        <f>SUM(B4:P4)</f>
        <v>135432.60077237687</v>
      </c>
    </row>
    <row r="5" spans="1:17">
      <c r="A5" s="476" t="s">
        <v>156</v>
      </c>
      <c r="B5" s="477">
        <f ca="1">tertiair!B16</f>
        <v>28154.583347</v>
      </c>
      <c r="C5" s="477">
        <f ca="1">tertiair!C16</f>
        <v>0</v>
      </c>
      <c r="D5" s="477">
        <f ca="1">tertiair!D16</f>
        <v>21016.459303333999</v>
      </c>
      <c r="E5" s="477">
        <f>tertiair!E16</f>
        <v>393.61089592548694</v>
      </c>
      <c r="F5" s="477">
        <f ca="1">tertiair!F16</f>
        <v>5634.3277504097377</v>
      </c>
      <c r="G5" s="477">
        <f>tertiair!G16</f>
        <v>0</v>
      </c>
      <c r="H5" s="477">
        <f>tertiair!H16</f>
        <v>0</v>
      </c>
      <c r="I5" s="477">
        <f>tertiair!I16</f>
        <v>0</v>
      </c>
      <c r="J5" s="477">
        <f>tertiair!J16</f>
        <v>0.20486967502495257</v>
      </c>
      <c r="K5" s="477">
        <f>tertiair!K16</f>
        <v>0</v>
      </c>
      <c r="L5" s="477">
        <f ca="1">tertiair!L16</f>
        <v>0</v>
      </c>
      <c r="M5" s="477">
        <f>tertiair!M16</f>
        <v>0</v>
      </c>
      <c r="N5" s="477">
        <f ca="1">tertiair!N16</f>
        <v>8059.812319446024</v>
      </c>
      <c r="O5" s="477">
        <f>tertiair!O16</f>
        <v>3.1266666666666669</v>
      </c>
      <c r="P5" s="478">
        <f>tertiair!P16</f>
        <v>19.066666666666666</v>
      </c>
      <c r="Q5" s="476">
        <f t="shared" ref="Q5:Q14" ca="1" si="0">SUM(B5:P5)</f>
        <v>63281.191819123604</v>
      </c>
    </row>
    <row r="6" spans="1:17">
      <c r="A6" s="476" t="s">
        <v>194</v>
      </c>
      <c r="B6" s="477">
        <f>'openbare verlichting'!B8</f>
        <v>845.55600000000004</v>
      </c>
      <c r="C6" s="477"/>
      <c r="D6" s="477"/>
      <c r="E6" s="477"/>
      <c r="F6" s="477"/>
      <c r="G6" s="477"/>
      <c r="H6" s="477"/>
      <c r="I6" s="477"/>
      <c r="J6" s="477"/>
      <c r="K6" s="477"/>
      <c r="L6" s="477"/>
      <c r="M6" s="477"/>
      <c r="N6" s="477"/>
      <c r="O6" s="477"/>
      <c r="P6" s="478"/>
      <c r="Q6" s="476">
        <f t="shared" si="0"/>
        <v>845.55600000000004</v>
      </c>
    </row>
    <row r="7" spans="1:17">
      <c r="A7" s="476" t="s">
        <v>112</v>
      </c>
      <c r="B7" s="477">
        <f>landbouw!B8</f>
        <v>9783.4557074118766</v>
      </c>
      <c r="C7" s="477">
        <f>landbouw!C8</f>
        <v>268.07142857142856</v>
      </c>
      <c r="D7" s="477">
        <f>landbouw!D8</f>
        <v>958.51481000000001</v>
      </c>
      <c r="E7" s="477">
        <f>landbouw!E8</f>
        <v>287.5656453636048</v>
      </c>
      <c r="F7" s="477">
        <f>landbouw!F8</f>
        <v>40757.347806880112</v>
      </c>
      <c r="G7" s="477">
        <f>landbouw!G8</f>
        <v>0</v>
      </c>
      <c r="H7" s="477">
        <f>landbouw!H8</f>
        <v>0</v>
      </c>
      <c r="I7" s="477">
        <f>landbouw!I8</f>
        <v>0</v>
      </c>
      <c r="J7" s="477">
        <f>landbouw!J8</f>
        <v>1417.4126298876488</v>
      </c>
      <c r="K7" s="477">
        <f>landbouw!K8</f>
        <v>0</v>
      </c>
      <c r="L7" s="477">
        <f>landbouw!L8</f>
        <v>0</v>
      </c>
      <c r="M7" s="477">
        <f>landbouw!M8</f>
        <v>0</v>
      </c>
      <c r="N7" s="477">
        <f>landbouw!N8</f>
        <v>0</v>
      </c>
      <c r="O7" s="477">
        <f>landbouw!O8</f>
        <v>0</v>
      </c>
      <c r="P7" s="478">
        <f>landbouw!P8</f>
        <v>0</v>
      </c>
      <c r="Q7" s="476">
        <f t="shared" si="0"/>
        <v>53472.368028114674</v>
      </c>
    </row>
    <row r="8" spans="1:17">
      <c r="A8" s="476" t="s">
        <v>635</v>
      </c>
      <c r="B8" s="477">
        <f>industrie!B18</f>
        <v>22886.706539999999</v>
      </c>
      <c r="C8" s="477">
        <f>industrie!C18</f>
        <v>0</v>
      </c>
      <c r="D8" s="477">
        <f>industrie!D18</f>
        <v>7913.2774094440001</v>
      </c>
      <c r="E8" s="477">
        <f>industrie!E18</f>
        <v>3901.5604716916969</v>
      </c>
      <c r="F8" s="477">
        <f>industrie!F18</f>
        <v>11309.410026341366</v>
      </c>
      <c r="G8" s="477">
        <f>industrie!G18</f>
        <v>0</v>
      </c>
      <c r="H8" s="477">
        <f>industrie!H18</f>
        <v>0</v>
      </c>
      <c r="I8" s="477">
        <f>industrie!I18</f>
        <v>0</v>
      </c>
      <c r="J8" s="477">
        <f>industrie!J18</f>
        <v>1.2066596871772828</v>
      </c>
      <c r="K8" s="477">
        <f>industrie!K18</f>
        <v>0</v>
      </c>
      <c r="L8" s="477">
        <f>industrie!L18</f>
        <v>0</v>
      </c>
      <c r="M8" s="477">
        <f>industrie!M18</f>
        <v>0</v>
      </c>
      <c r="N8" s="477">
        <f>industrie!N18</f>
        <v>5679.2939284029062</v>
      </c>
      <c r="O8" s="477">
        <f>industrie!O18</f>
        <v>0</v>
      </c>
      <c r="P8" s="478">
        <f>industrie!P18</f>
        <v>0</v>
      </c>
      <c r="Q8" s="476">
        <f t="shared" si="0"/>
        <v>51691.455035567138</v>
      </c>
    </row>
    <row r="9" spans="1:17" s="482" customFormat="1">
      <c r="A9" s="480" t="s">
        <v>561</v>
      </c>
      <c r="B9" s="481">
        <f>transport!B14</f>
        <v>60.659130319354105</v>
      </c>
      <c r="C9" s="481">
        <f>transport!C14</f>
        <v>0</v>
      </c>
      <c r="D9" s="481">
        <f>transport!D14</f>
        <v>202.80300767184025</v>
      </c>
      <c r="E9" s="481">
        <f>transport!E14</f>
        <v>272.24595179142597</v>
      </c>
      <c r="F9" s="481">
        <f>transport!F14</f>
        <v>0</v>
      </c>
      <c r="G9" s="481">
        <f>transport!G14</f>
        <v>105806.77529692519</v>
      </c>
      <c r="H9" s="481">
        <f>transport!H14</f>
        <v>22924.576504572269</v>
      </c>
      <c r="I9" s="481">
        <f>transport!I14</f>
        <v>0</v>
      </c>
      <c r="J9" s="481">
        <f>transport!J14</f>
        <v>0</v>
      </c>
      <c r="K9" s="481">
        <f>transport!K14</f>
        <v>0</v>
      </c>
      <c r="L9" s="481">
        <f>transport!L14</f>
        <v>0</v>
      </c>
      <c r="M9" s="481">
        <f>transport!M14</f>
        <v>6858.0880171381441</v>
      </c>
      <c r="N9" s="481">
        <f>transport!N14</f>
        <v>0</v>
      </c>
      <c r="O9" s="481">
        <f>transport!O14</f>
        <v>0</v>
      </c>
      <c r="P9" s="481">
        <f>transport!P14</f>
        <v>0</v>
      </c>
      <c r="Q9" s="480">
        <f>SUM(B9:P9)</f>
        <v>136125.14790841824</v>
      </c>
    </row>
    <row r="10" spans="1:17">
      <c r="A10" s="476" t="s">
        <v>551</v>
      </c>
      <c r="B10" s="477">
        <f>transport!B54</f>
        <v>0</v>
      </c>
      <c r="C10" s="477">
        <f>transport!C54</f>
        <v>0</v>
      </c>
      <c r="D10" s="477">
        <f>transport!D54</f>
        <v>0</v>
      </c>
      <c r="E10" s="477">
        <f>transport!E54</f>
        <v>0</v>
      </c>
      <c r="F10" s="477">
        <f>transport!F54</f>
        <v>0</v>
      </c>
      <c r="G10" s="477">
        <f>transport!G54</f>
        <v>1864.6285503610604</v>
      </c>
      <c r="H10" s="477">
        <f>transport!H54</f>
        <v>0</v>
      </c>
      <c r="I10" s="477">
        <f>transport!I54</f>
        <v>0</v>
      </c>
      <c r="J10" s="477">
        <f>transport!J54</f>
        <v>0</v>
      </c>
      <c r="K10" s="477">
        <f>transport!K54</f>
        <v>0</v>
      </c>
      <c r="L10" s="477">
        <f>transport!L54</f>
        <v>0</v>
      </c>
      <c r="M10" s="477">
        <f>transport!M54</f>
        <v>105.90267011534381</v>
      </c>
      <c r="N10" s="477">
        <f>transport!N54</f>
        <v>0</v>
      </c>
      <c r="O10" s="477">
        <f>transport!O54</f>
        <v>0</v>
      </c>
      <c r="P10" s="478">
        <f>transport!P54</f>
        <v>0</v>
      </c>
      <c r="Q10" s="476">
        <f t="shared" si="0"/>
        <v>1970.5312204764043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787.72655000000009</v>
      </c>
      <c r="C14" s="484"/>
      <c r="D14" s="484">
        <f>'SEAP template'!E25</f>
        <v>4002.1060950000001</v>
      </c>
      <c r="E14" s="484"/>
      <c r="F14" s="484"/>
      <c r="G14" s="484"/>
      <c r="H14" s="484"/>
      <c r="I14" s="484"/>
      <c r="J14" s="484"/>
      <c r="K14" s="484"/>
      <c r="L14" s="484"/>
      <c r="M14" s="484"/>
      <c r="N14" s="484"/>
      <c r="O14" s="484"/>
      <c r="P14" s="485"/>
      <c r="Q14" s="476">
        <f t="shared" si="0"/>
        <v>4789.8326450000004</v>
      </c>
    </row>
    <row r="15" spans="1:17" s="486" customFormat="1">
      <c r="A15" s="1039" t="s">
        <v>555</v>
      </c>
      <c r="B15" s="987">
        <f ca="1">SUM(B4:B14)</f>
        <v>89484.690191206115</v>
      </c>
      <c r="C15" s="987">
        <f t="shared" ref="C15:Q15" ca="1" si="1">SUM(C4:C14)</f>
        <v>268.07142857142856</v>
      </c>
      <c r="D15" s="987">
        <f t="shared" ca="1" si="1"/>
        <v>87457.761377549832</v>
      </c>
      <c r="E15" s="987">
        <f t="shared" si="1"/>
        <v>15231.168093086897</v>
      </c>
      <c r="F15" s="987">
        <f t="shared" ca="1" si="1"/>
        <v>67624.065853315769</v>
      </c>
      <c r="G15" s="987">
        <f t="shared" si="1"/>
        <v>107671.40384728624</v>
      </c>
      <c r="H15" s="987">
        <f t="shared" si="1"/>
        <v>22924.576504572269</v>
      </c>
      <c r="I15" s="987">
        <f t="shared" si="1"/>
        <v>0</v>
      </c>
      <c r="J15" s="987">
        <f t="shared" si="1"/>
        <v>5004.7994118489069</v>
      </c>
      <c r="K15" s="987">
        <f t="shared" si="1"/>
        <v>0</v>
      </c>
      <c r="L15" s="987">
        <f t="shared" ca="1" si="1"/>
        <v>0</v>
      </c>
      <c r="M15" s="987">
        <f t="shared" si="1"/>
        <v>6963.9906872534875</v>
      </c>
      <c r="N15" s="987">
        <f t="shared" ca="1" si="1"/>
        <v>43954.076034385937</v>
      </c>
      <c r="O15" s="987">
        <f t="shared" si="1"/>
        <v>337.68</v>
      </c>
      <c r="P15" s="987">
        <f t="shared" si="1"/>
        <v>686.40000000000009</v>
      </c>
      <c r="Q15" s="987">
        <f t="shared" ca="1" si="1"/>
        <v>447608.68342907686</v>
      </c>
    </row>
    <row r="17" spans="1:17">
      <c r="A17" s="487" t="s">
        <v>556</v>
      </c>
      <c r="B17" s="786">
        <f ca="1">huishoudens!B10</f>
        <v>0.18900784825586658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5096.7861873043403</v>
      </c>
      <c r="C22" s="477">
        <f t="shared" ref="C22:C32" ca="1" si="3">C4*$C$17</f>
        <v>0</v>
      </c>
      <c r="D22" s="477">
        <f t="shared" ref="D22:D32" si="4">D4*$D$17</f>
        <v>10779.649351924201</v>
      </c>
      <c r="E22" s="477">
        <f t="shared" ref="E22:E32" si="5">E4*$E$17</f>
        <v>2355.3940241274327</v>
      </c>
      <c r="F22" s="477">
        <f t="shared" ref="F22:F32" si="6">F4*$F$17</f>
        <v>2649.4357320057752</v>
      </c>
      <c r="G22" s="477">
        <f t="shared" ref="G22:G32" si="7">G4*$G$17</f>
        <v>0</v>
      </c>
      <c r="H22" s="477">
        <f t="shared" ref="H22:H32" si="8">H4*$H$17</f>
        <v>0</v>
      </c>
      <c r="I22" s="477">
        <f t="shared" ref="I22:I32" si="9">I4*$I$17</f>
        <v>0</v>
      </c>
      <c r="J22" s="477">
        <f t="shared" ref="J22:J32" si="10">J4*$J$17</f>
        <v>1269.4352394200657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22150.700534781816</v>
      </c>
    </row>
    <row r="23" spans="1:17">
      <c r="A23" s="476" t="s">
        <v>156</v>
      </c>
      <c r="B23" s="477">
        <f t="shared" ca="1" si="2"/>
        <v>5321.4372169569242</v>
      </c>
      <c r="C23" s="477">
        <f t="shared" ca="1" si="3"/>
        <v>0</v>
      </c>
      <c r="D23" s="477">
        <f t="shared" ca="1" si="4"/>
        <v>4245.3247792734683</v>
      </c>
      <c r="E23" s="477">
        <f t="shared" si="5"/>
        <v>89.349673375085544</v>
      </c>
      <c r="F23" s="477">
        <f t="shared" ca="1" si="6"/>
        <v>1504.3655093594</v>
      </c>
      <c r="G23" s="477">
        <f t="shared" si="7"/>
        <v>0</v>
      </c>
      <c r="H23" s="477">
        <f t="shared" si="8"/>
        <v>0</v>
      </c>
      <c r="I23" s="477">
        <f t="shared" si="9"/>
        <v>0</v>
      </c>
      <c r="J23" s="477">
        <f t="shared" si="10"/>
        <v>7.2523864958833201E-2</v>
      </c>
      <c r="K23" s="477">
        <f t="shared" si="11"/>
        <v>0</v>
      </c>
      <c r="L23" s="477">
        <f t="shared" ca="1" si="12"/>
        <v>0</v>
      </c>
      <c r="M23" s="477">
        <f t="shared" si="13"/>
        <v>0</v>
      </c>
      <c r="N23" s="477">
        <f t="shared" ca="1" si="14"/>
        <v>0</v>
      </c>
      <c r="O23" s="477">
        <f t="shared" si="15"/>
        <v>0</v>
      </c>
      <c r="P23" s="478">
        <f t="shared" si="16"/>
        <v>0</v>
      </c>
      <c r="Q23" s="476">
        <f t="shared" ref="Q23:Q32" ca="1" si="17">SUM(B23:P23)</f>
        <v>11160.549702829838</v>
      </c>
    </row>
    <row r="24" spans="1:17">
      <c r="A24" s="476" t="s">
        <v>194</v>
      </c>
      <c r="B24" s="477">
        <f t="shared" ca="1" si="2"/>
        <v>159.81672013983754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159.81672013983754</v>
      </c>
    </row>
    <row r="25" spans="1:17">
      <c r="A25" s="476" t="s">
        <v>112</v>
      </c>
      <c r="B25" s="477">
        <f t="shared" ca="1" si="2"/>
        <v>1849.1499117644958</v>
      </c>
      <c r="C25" s="477">
        <f t="shared" ca="1" si="3"/>
        <v>0</v>
      </c>
      <c r="D25" s="477">
        <f t="shared" si="4"/>
        <v>193.61999162000001</v>
      </c>
      <c r="E25" s="477">
        <f t="shared" si="5"/>
        <v>65.277401497538293</v>
      </c>
      <c r="F25" s="477">
        <f t="shared" si="6"/>
        <v>10882.211864436991</v>
      </c>
      <c r="G25" s="477">
        <f t="shared" si="7"/>
        <v>0</v>
      </c>
      <c r="H25" s="477">
        <f t="shared" si="8"/>
        <v>0</v>
      </c>
      <c r="I25" s="477">
        <f t="shared" si="9"/>
        <v>0</v>
      </c>
      <c r="J25" s="477">
        <f t="shared" si="10"/>
        <v>501.76407098022764</v>
      </c>
      <c r="K25" s="477">
        <f t="shared" si="11"/>
        <v>0</v>
      </c>
      <c r="L25" s="477">
        <f t="shared" si="12"/>
        <v>0</v>
      </c>
      <c r="M25" s="477">
        <f t="shared" si="13"/>
        <v>0</v>
      </c>
      <c r="N25" s="477">
        <f t="shared" si="14"/>
        <v>0</v>
      </c>
      <c r="O25" s="477">
        <f t="shared" si="15"/>
        <v>0</v>
      </c>
      <c r="P25" s="478">
        <f t="shared" si="16"/>
        <v>0</v>
      </c>
      <c r="Q25" s="476">
        <f t="shared" ca="1" si="17"/>
        <v>13492.023240299253</v>
      </c>
    </row>
    <row r="26" spans="1:17">
      <c r="A26" s="476" t="s">
        <v>635</v>
      </c>
      <c r="B26" s="477">
        <f t="shared" ca="1" si="2"/>
        <v>4325.7671567888692</v>
      </c>
      <c r="C26" s="477">
        <f t="shared" ca="1" si="3"/>
        <v>0</v>
      </c>
      <c r="D26" s="477">
        <f t="shared" si="4"/>
        <v>1598.4820367076882</v>
      </c>
      <c r="E26" s="477">
        <f t="shared" si="5"/>
        <v>885.65422707401524</v>
      </c>
      <c r="F26" s="477">
        <f t="shared" si="6"/>
        <v>3019.6124770331448</v>
      </c>
      <c r="G26" s="477">
        <f t="shared" si="7"/>
        <v>0</v>
      </c>
      <c r="H26" s="477">
        <f t="shared" si="8"/>
        <v>0</v>
      </c>
      <c r="I26" s="477">
        <f t="shared" si="9"/>
        <v>0</v>
      </c>
      <c r="J26" s="477">
        <f t="shared" si="10"/>
        <v>0.42715752926075806</v>
      </c>
      <c r="K26" s="477">
        <f t="shared" si="11"/>
        <v>0</v>
      </c>
      <c r="L26" s="477">
        <f t="shared" si="12"/>
        <v>0</v>
      </c>
      <c r="M26" s="477">
        <f t="shared" si="13"/>
        <v>0</v>
      </c>
      <c r="N26" s="477">
        <f t="shared" si="14"/>
        <v>0</v>
      </c>
      <c r="O26" s="477">
        <f t="shared" si="15"/>
        <v>0</v>
      </c>
      <c r="P26" s="478">
        <f t="shared" si="16"/>
        <v>0</v>
      </c>
      <c r="Q26" s="476">
        <f t="shared" ca="1" si="17"/>
        <v>9829.9430551329788</v>
      </c>
    </row>
    <row r="27" spans="1:17" s="482" customFormat="1">
      <c r="A27" s="480" t="s">
        <v>561</v>
      </c>
      <c r="B27" s="780">
        <f t="shared" ca="1" si="2"/>
        <v>11.465051698733317</v>
      </c>
      <c r="C27" s="481">
        <f t="shared" ca="1" si="3"/>
        <v>0</v>
      </c>
      <c r="D27" s="481">
        <f t="shared" si="4"/>
        <v>40.966207549711733</v>
      </c>
      <c r="E27" s="481">
        <f t="shared" si="5"/>
        <v>61.799831056653694</v>
      </c>
      <c r="F27" s="481">
        <f t="shared" si="6"/>
        <v>0</v>
      </c>
      <c r="G27" s="481">
        <f t="shared" si="7"/>
        <v>28250.409004279027</v>
      </c>
      <c r="H27" s="481">
        <f t="shared" si="8"/>
        <v>5708.2195496384948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34072.859644222619</v>
      </c>
    </row>
    <row r="28" spans="1:17">
      <c r="A28" s="476" t="s">
        <v>551</v>
      </c>
      <c r="B28" s="477">
        <f t="shared" ca="1" si="2"/>
        <v>0</v>
      </c>
      <c r="C28" s="477">
        <f t="shared" ca="1" si="3"/>
        <v>0</v>
      </c>
      <c r="D28" s="477">
        <f t="shared" si="4"/>
        <v>0</v>
      </c>
      <c r="E28" s="477">
        <f t="shared" si="5"/>
        <v>0</v>
      </c>
      <c r="F28" s="477">
        <f t="shared" si="6"/>
        <v>0</v>
      </c>
      <c r="G28" s="477">
        <f t="shared" si="7"/>
        <v>497.85582294640318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497.85582294640318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148.88650022951731</v>
      </c>
      <c r="C32" s="477">
        <f t="shared" ca="1" si="3"/>
        <v>0</v>
      </c>
      <c r="D32" s="477">
        <f t="shared" si="4"/>
        <v>808.42543119000004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957.31193141951735</v>
      </c>
    </row>
    <row r="33" spans="1:17" s="486" customFormat="1">
      <c r="A33" s="1039" t="s">
        <v>555</v>
      </c>
      <c r="B33" s="987">
        <f ca="1">SUM(B22:B32)</f>
        <v>16913.308744882721</v>
      </c>
      <c r="C33" s="987">
        <f t="shared" ref="C33:Q33" ca="1" si="18">SUM(C22:C32)</f>
        <v>0</v>
      </c>
      <c r="D33" s="987">
        <f t="shared" ca="1" si="18"/>
        <v>17666.467798265068</v>
      </c>
      <c r="E33" s="987">
        <f t="shared" si="18"/>
        <v>3457.4751571307252</v>
      </c>
      <c r="F33" s="987">
        <f t="shared" ca="1" si="18"/>
        <v>18055.62558283531</v>
      </c>
      <c r="G33" s="987">
        <f t="shared" si="18"/>
        <v>28748.26482722543</v>
      </c>
      <c r="H33" s="987">
        <f t="shared" si="18"/>
        <v>5708.2195496384948</v>
      </c>
      <c r="I33" s="987">
        <f t="shared" si="18"/>
        <v>0</v>
      </c>
      <c r="J33" s="987">
        <f t="shared" si="18"/>
        <v>1771.6989917945129</v>
      </c>
      <c r="K33" s="987">
        <f t="shared" si="18"/>
        <v>0</v>
      </c>
      <c r="L33" s="987">
        <f t="shared" ca="1" si="18"/>
        <v>0</v>
      </c>
      <c r="M33" s="987">
        <f t="shared" si="18"/>
        <v>0</v>
      </c>
      <c r="N33" s="987">
        <f t="shared" ca="1" si="18"/>
        <v>0</v>
      </c>
      <c r="O33" s="987">
        <f t="shared" si="18"/>
        <v>0</v>
      </c>
      <c r="P33" s="987">
        <f t="shared" si="18"/>
        <v>0</v>
      </c>
      <c r="Q33" s="987">
        <f t="shared" ca="1" si="18"/>
        <v>92321.060651772263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2755.9170004074117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8309.3143904244171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187.64999999999998</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220.76470588235293</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1701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4860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12953.881390831828</v>
      </c>
      <c r="C10" s="1060">
        <f>SUM(C4:C9)</f>
        <v>0</v>
      </c>
      <c r="D10" s="1060">
        <f t="shared" ref="D10:H10" si="0">SUM(D8:D9)</f>
        <v>0</v>
      </c>
      <c r="E10" s="1060">
        <f t="shared" si="0"/>
        <v>0</v>
      </c>
      <c r="F10" s="1060">
        <f t="shared" si="0"/>
        <v>0</v>
      </c>
      <c r="G10" s="1060">
        <f t="shared" si="0"/>
        <v>0</v>
      </c>
      <c r="H10" s="1060">
        <f t="shared" si="0"/>
        <v>0</v>
      </c>
      <c r="I10" s="1060">
        <f>SUM(I8:I9)</f>
        <v>0</v>
      </c>
      <c r="J10" s="1060">
        <f>SUM(J8:J9)</f>
        <v>5080.7647058823532</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0.18900784825586658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268.07142857142856</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315.37815126050418</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268.07142857142856</v>
      </c>
      <c r="C20" s="1060">
        <f>SUM(C17:C19)</f>
        <v>0</v>
      </c>
      <c r="D20" s="1060">
        <f t="shared" ref="D20:H20" si="2">SUM(D17:D19)</f>
        <v>0</v>
      </c>
      <c r="E20" s="1060">
        <f t="shared" si="2"/>
        <v>0</v>
      </c>
      <c r="F20" s="1060">
        <f t="shared" si="2"/>
        <v>0</v>
      </c>
      <c r="G20" s="1060">
        <f t="shared" si="2"/>
        <v>0</v>
      </c>
      <c r="H20" s="1060">
        <f t="shared" si="2"/>
        <v>0</v>
      </c>
      <c r="I20" s="1060">
        <f>SUM(I17:I19)</f>
        <v>0</v>
      </c>
      <c r="J20" s="1060">
        <f>SUM(J17:J19)</f>
        <v>315.37815126050418</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0.18900784825586658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2019-08-12T08:33:15Z</dcterms:modified>
</cp:coreProperties>
</file>