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78" i="14"/>
  <c r="L8" i="61"/>
  <c r="L10" s="1"/>
  <c r="K78" i="14"/>
  <c r="K8" i="61"/>
  <c r="K10" s="1"/>
  <c r="L90" i="14"/>
  <c r="L18" i="61"/>
  <c r="L20" s="1"/>
  <c r="G77" i="14"/>
  <c r="G9" i="61" s="1"/>
  <c r="G10" s="1"/>
  <c r="H20"/>
  <c r="O9" i="18"/>
  <c r="O10" i="61"/>
  <c r="G20"/>
  <c r="K20"/>
  <c r="Q11" i="48"/>
  <c r="O25"/>
  <c r="N10" i="61"/>
  <c r="O32" i="48"/>
  <c r="C98" i="18"/>
  <c r="D13" i="15"/>
  <c r="O77" i="14"/>
  <c r="O9" i="61" s="1"/>
  <c r="E88" i="14"/>
  <c r="O30" i="48"/>
  <c r="C13" i="15"/>
  <c r="K90" i="14"/>
  <c r="K22"/>
  <c r="Q52"/>
  <c r="F6" i="17"/>
  <c r="I9" i="18"/>
  <c r="I77" i="14" s="1"/>
  <c r="I9" i="61" s="1"/>
  <c r="P27" i="48"/>
  <c r="B10" i="18"/>
  <c r="M77" i="14"/>
  <c r="M9" i="61" s="1"/>
  <c r="H9" i="18"/>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C90" i="14" l="1"/>
  <c r="C17" i="61"/>
  <c r="C20" s="1"/>
  <c r="C78" i="14"/>
  <c r="C8" i="61"/>
  <c r="C10" s="1"/>
  <c r="B78" i="14"/>
  <c r="B8" i="61"/>
  <c r="B10" s="1"/>
  <c r="B90" i="14"/>
  <c r="B17" i="61"/>
  <c r="B2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G23"/>
  <c r="G32"/>
  <c r="G22"/>
  <c r="G30"/>
  <c r="G29"/>
  <c r="G26"/>
  <c r="G24"/>
  <c r="G25"/>
  <c r="C11" i="14"/>
  <c r="B4" i="48"/>
  <c r="F24"/>
  <c r="F29"/>
  <c r="F30"/>
  <c r="F32"/>
  <c r="F28"/>
  <c r="F31"/>
  <c r="F27"/>
  <c r="N30"/>
  <c r="N32"/>
  <c r="N24"/>
  <c r="N27"/>
  <c r="N31"/>
  <c r="N28"/>
  <c r="N29"/>
  <c r="C19" i="14"/>
  <c r="B10" i="48"/>
  <c r="E29"/>
  <c r="E30"/>
  <c r="E28"/>
  <c r="E32"/>
  <c r="E31"/>
  <c r="E24"/>
  <c r="M25"/>
  <c r="M29"/>
  <c r="M32"/>
  <c r="M22"/>
  <c r="M26"/>
  <c r="M24"/>
  <c r="M30"/>
  <c r="M23"/>
  <c r="K5"/>
  <c r="L10" i="14"/>
  <c r="L16" s="1"/>
  <c r="L27" s="1"/>
  <c r="D30" i="48"/>
  <c r="D28"/>
  <c r="D24"/>
  <c r="D29"/>
  <c r="D31"/>
  <c r="D32"/>
  <c r="L29"/>
  <c r="L32"/>
  <c r="L27"/>
  <c r="L31"/>
  <c r="L22"/>
  <c r="L30"/>
  <c r="L28"/>
  <c r="L24"/>
  <c r="P5"/>
  <c r="P23" s="1"/>
  <c r="Q10" i="14"/>
  <c r="K32" i="48"/>
  <c r="K24"/>
  <c r="K27"/>
  <c r="K31"/>
  <c r="K22"/>
  <c r="K25"/>
  <c r="K30"/>
  <c r="K26"/>
  <c r="K28"/>
  <c r="K29"/>
  <c r="B7"/>
  <c r="C24" i="14"/>
  <c r="C26" s="1"/>
  <c r="J30" i="48"/>
  <c r="J32"/>
  <c r="J24"/>
  <c r="J31"/>
  <c r="J29"/>
  <c r="J28"/>
  <c r="J27"/>
  <c r="P4"/>
  <c r="Q11" i="14"/>
  <c r="O4" i="48"/>
  <c r="P11" i="14"/>
  <c r="I29" i="48"/>
  <c r="I25"/>
  <c r="I27"/>
  <c r="I31"/>
  <c r="I24"/>
  <c r="I28"/>
  <c r="I30"/>
  <c r="I22"/>
  <c r="I32"/>
  <c r="I26"/>
  <c r="E11" i="14"/>
  <c r="D4" i="48"/>
  <c r="D22" s="1"/>
  <c r="H29"/>
  <c r="H32"/>
  <c r="H24"/>
  <c r="H26"/>
  <c r="H22"/>
  <c r="H28"/>
  <c r="H30"/>
  <c r="H25"/>
  <c r="H23"/>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C22" i="14"/>
  <c r="E9" i="48"/>
  <c r="E27" s="1"/>
  <c r="F20" i="14"/>
  <c r="F22" s="1"/>
  <c r="P8" i="48"/>
  <c r="P26" s="1"/>
  <c r="Q13" i="14"/>
  <c r="D9" i="48"/>
  <c r="D27" s="1"/>
  <c r="E20" i="14"/>
  <c r="E22" s="1"/>
  <c r="O5" i="48"/>
  <c r="O23" s="1"/>
  <c r="P10" i="14"/>
  <c r="B9" i="48"/>
  <c r="C20" i="14"/>
  <c r="J7" i="48"/>
  <c r="J25" s="1"/>
  <c r="K24" i="14"/>
  <c r="K26" s="1"/>
  <c r="F4" i="48"/>
  <c r="F22" s="1"/>
  <c r="G11" i="14"/>
  <c r="J10"/>
  <c r="J16" s="1"/>
  <c r="J27" s="1"/>
  <c r="J63" s="1"/>
  <c r="I5" i="48"/>
  <c r="P15"/>
  <c r="P22"/>
  <c r="P33" s="1"/>
  <c r="G13"/>
  <c r="G31" s="1"/>
  <c r="H18" i="14"/>
  <c r="O22" i="48"/>
  <c r="Q16" i="14"/>
  <c r="Q27"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I15" i="48"/>
  <c r="I23"/>
  <c r="I33" s="1"/>
  <c r="M10"/>
  <c r="M28" s="1"/>
  <c r="N19" i="14"/>
  <c r="G10" i="48"/>
  <c r="H19" i="14"/>
  <c r="E7" i="48"/>
  <c r="E25" s="1"/>
  <c r="F24" i="14"/>
  <c r="F26" s="1"/>
  <c r="O8" i="48"/>
  <c r="O26" s="1"/>
  <c r="O33" s="1"/>
  <c r="P13" i="14"/>
  <c r="P16" s="1"/>
  <c r="P27" s="1"/>
  <c r="K11"/>
  <c r="J4" i="48"/>
  <c r="N4"/>
  <c r="N22" s="1"/>
  <c r="O11" i="14"/>
  <c r="H14" i="22"/>
  <c r="H9" i="48" s="1"/>
  <c r="P46" i="14"/>
  <c r="P61" s="1"/>
  <c r="Q63"/>
  <c r="M9" i="48"/>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5" i="48" l="1"/>
  <c r="E23" s="1"/>
  <c r="F10" i="14"/>
  <c r="J22" i="48"/>
  <c r="G28"/>
  <c r="Q10"/>
  <c r="R19" i="14"/>
  <c r="G9" i="48"/>
  <c r="H20" i="14"/>
  <c r="H22" s="1"/>
  <c r="H27" s="1"/>
  <c r="E22" i="48"/>
  <c r="Q4"/>
  <c r="K10" i="14"/>
  <c r="J5" i="48"/>
  <c r="J23" s="1"/>
  <c r="P63" i="14"/>
  <c r="O15" i="48"/>
  <c r="Q7"/>
  <c r="N52" i="14"/>
  <c r="N61" s="1"/>
  <c r="N63" s="1"/>
  <c r="I20"/>
  <c r="I22" s="1"/>
  <c r="I27" s="1"/>
  <c r="R11"/>
  <c r="M15" i="48"/>
  <c r="M27"/>
  <c r="M33" s="1"/>
  <c r="Q9"/>
  <c r="H15"/>
  <c r="H27"/>
  <c r="H33" s="1"/>
  <c r="R24" i="14"/>
  <c r="R26" s="1"/>
  <c r="N18" i="16"/>
  <c r="E20" i="15"/>
  <c r="F40" i="14" s="1"/>
  <c r="F18" i="16"/>
  <c r="J18"/>
  <c r="E18"/>
  <c r="G18" i="22"/>
  <c r="H50" i="14" s="1"/>
  <c r="H52" s="1"/>
  <c r="H61" s="1"/>
  <c r="H63" s="1"/>
  <c r="H18" i="22"/>
  <c r="I50" i="14" s="1"/>
  <c r="I52" s="1"/>
  <c r="I61" s="1"/>
  <c r="K13" l="1"/>
  <c r="J8" i="48"/>
  <c r="E8"/>
  <c r="F13" i="14"/>
  <c r="F16" s="1"/>
  <c r="F27" s="1"/>
  <c r="F63" s="1"/>
  <c r="G27" i="48"/>
  <c r="G33" s="1"/>
  <c r="G15"/>
  <c r="I63" i="14"/>
  <c r="R20"/>
  <c r="R22" s="1"/>
  <c r="K16"/>
  <c r="K27" s="1"/>
  <c r="K63" s="1"/>
  <c r="N8" i="48"/>
  <c r="N26" s="1"/>
  <c r="O13" i="14"/>
  <c r="F8" i="48"/>
  <c r="G13" i="14"/>
  <c r="E22" i="16"/>
  <c r="F43" i="14" s="1"/>
  <c r="F46" s="1"/>
  <c r="F61" s="1"/>
  <c r="F22" i="16"/>
  <c r="G43" i="14" s="1"/>
  <c r="N22" i="16"/>
  <c r="O43" i="14" s="1"/>
  <c r="J22" i="16"/>
  <c r="K43" i="14" s="1"/>
  <c r="K46" s="1"/>
  <c r="K61" s="1"/>
  <c r="J26" i="48" l="1"/>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<sst xmlns="http://schemas.openxmlformats.org/spreadsheetml/2006/main" count="2383" uniqueCount="881">
  <si>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</si>
  <si>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</si>
  <si>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</si>
  <si>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</si>
  <si>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</si>
  <si>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</si>
  <si>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</si>
  <si>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</si>
  <si>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</si>
  <si>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</si>
  <si>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</si>
  <si>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</si>
  <si>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</si>
  <si>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</si>
  <si>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</si>
  <si>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</si>
  <si>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</si>
  <si>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</si>
  <si>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</si>
  <si>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</si>
  <si>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</si>
  <si>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</si>
  <si>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</si>
  <si>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</si>
  <si>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</si>
  <si>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</si>
  <si>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</si>
  <si>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</si>
  <si>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</si>
  <si>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</si>
  <si>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</si>
  <si>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</si>
  <si>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</si>
  <si>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</si>
  <si>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</si>
  <si>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</si>
  <si>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</si>
  <si>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</si>
  <si>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</si>
  <si>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</si>
  <si>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</si>
  <si>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</si>
  <si>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</si>
  <si>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</si>
  <si>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</si>
  <si>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</si>
  <si>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</si>
  <si>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</si>
  <si>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</si>
  <si>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</si>
  <si>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</si>
  <si>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</si>
  <si>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</si>
  <si>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</si>
  <si>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</si>
  <si>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</si>
  <si>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</si>
  <si>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</si>
  <si>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</si>
  <si>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</si>
  <si>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</si>
  <si>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</si>
  <si>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</si>
  <si>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</si>
  <si>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</si>
  <si>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</si>
  <si>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</si>
  <si>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</si>
  <si>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</si>
  <si>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</si>
  <si>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</si>
  <si>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</si>
  <si>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</si>
  <si>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</si>
  <si>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</si>
  <si>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</si>
  <si>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</si>
  <si>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</si>
  <si>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</si>
  <si>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</si>
  <si>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</si>
  <si>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</si>
  <si>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</si>
  <si>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</si>
  <si>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</si>
  <si>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</si>
  <si>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</si>
  <si>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</si>
  <si>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</si>
  <si>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</si>
  <si>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</si>
  <si>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</si>
  <si>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</si>
  <si>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</si>
  <si>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</si>
  <si>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</si>
  <si>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</si>
  <si>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</si>
  <si>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</si>
  <si>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</si>
  <si>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</si>
  <si>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</si>
  <si>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</si>
  <si>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</si>
  <si>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</si>
  <si>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</si>
  <si>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</si>
  <si>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</si>
  <si>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</si>
  <si>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</si>
  <si>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</si>
  <si>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</si>
  <si>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</si>
  <si>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</si>
  <si>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</si>
  <si>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</si>
  <si>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</si>
  <si>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</si>
  <si>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</si>
  <si>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</si>
  <si>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</si>
  <si>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</si>
  <si>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</si>
  <si>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</si>
  <si>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</si>
  <si>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</si>
  <si>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</si>
  <si>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</si>
  <si>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</si>
  <si>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</si>
  <si>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</si>
  <si>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</si>
  <si>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</si>
  <si>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</si>
  <si>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</si>
  <si>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</si>
  <si>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</si>
  <si>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</si>
  <si>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</si>
  <si>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</si>
  <si>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</si>
  <si>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</si>
  <si>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</si>
  <si>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</si>
  <si>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</si>
  <si>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</si>
  <si>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</si>
  <si>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</si>
  <si>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</si>
  <si>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</si>
  <si>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</si>
  <si>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</si>
  <si>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</si>
  <si>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</si>
  <si>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</si>
  <si>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</si>
  <si>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</si>
  <si>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</si>
  <si>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</si>
  <si>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</si>
  <si>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</si>
  <si>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</si>
  <si>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</si>
  <si>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</si>
  <si>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</si>
  <si>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</si>
  <si>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</si>
  <si>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</si>
  <si>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</si>
  <si>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</si>
  <si>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</si>
  <si>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</si>
  <si>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</si>
  <si>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</si>
  <si>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</si>
  <si>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</si>
  <si>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</si>
  <si>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</si>
  <si>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</si>
  <si>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</si>
  <si>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</si>
  <si>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</si>
  <si>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</si>
  <si>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</si>
  <si>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</si>
  <si>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</si>
  <si>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</si>
  <si>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</si>
  <si>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</si>
  <si>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</si>
  <si>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</si>
  <si>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</si>
  <si>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</si>
  <si>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</si>
  <si>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</si>
  <si>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</si>
  <si>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</si>
  <si>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</si>
  <si>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</si>
  <si>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</si>
  <si>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</si>
  <si>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</si>
  <si>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</si>
  <si>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</si>
  <si>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</si>
  <si>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</si>
  <si>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</si>
  <si>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</si>
  <si>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</si>
  <si>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</si>
  <si>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</si>
  <si>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</si>
  <si>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</si>
  <si>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</si>
  <si>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</si>
  <si>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</si>
  <si>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</si>
  <si>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</si>
  <si>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</si>
  <si>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</si>
  <si>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</si>
  <si>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</si>
  <si>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</si>
  <si>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</si>
  <si>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</si>
  <si>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</si>
  <si>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</si>
  <si>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</si>
  <si>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</si>
  <si>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</si>
  <si>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</si>
  <si>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</si>
  <si>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</si>
  <si>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</si>
  <si>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</si>
  <si>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</si>
  <si>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</si>
  <si>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</si>
  <si>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</si>
  <si>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</si>
  <si>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</si>
  <si>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</si>
  <si>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</si>
  <si>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</si>
  <si>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</si>
  <si>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</si>
  <si>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</si>
  <si>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</si>
  <si>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</si>
  <si>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</si>
  <si>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</si>
  <si>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</si>
  <si>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</si>
  <si>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</si>
  <si>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</si>
  <si>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</si>
  <si>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</si>
  <si>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</si>
  <si>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</si>
  <si>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</si>
  <si>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</si>
  <si>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</si>
  <si>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</si>
  <si>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</si>
  <si>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</si>
  <si>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</si>
  <si>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</si>
  <si>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</si>
  <si>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</si>
  <si>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</si>
  <si>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</si>
  <si>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</si>
  <si>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</si>
  <si>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</si>
  <si>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</si>
  <si>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</si>
  <si>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</si>
  <si>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</si>
  <si>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</si>
  <si>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</si>
  <si>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</si>
  <si>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</si>
  <si>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</si>
  <si>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</si>
  <si>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</si>
  <si>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</si>
  <si>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</si>
  <si>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</si>
  <si>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</si>
  <si>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</si>
  <si>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</si>
  <si>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</si>
  <si>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</si>
  <si>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</si>
  <si>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</si>
  <si>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</si>
  <si>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</si>
  <si>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</si>
  <si>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</si>
  <si>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</si>
  <si>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</si>
  <si>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</si>
  <si>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</si>
  <si>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</si>
  <si>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</si>
  <si>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</si>
  <si>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</si>
  <si>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</si>
  <si>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</si>
  <si>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</si>
  <si>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</si>
  <si>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</si>
  <si>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</si>
  <si>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</si>
  <si>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</si>
  <si>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</si>
  <si>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</si>
  <si>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</si>
  <si>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</si>
  <si>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</si>
  <si>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</si>
  <si>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</si>
  <si>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</si>
  <si>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</si>
  <si>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</si>
  <si>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</si>
  <si>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</si>
  <si>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</si>
  <si>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</si>
  <si>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</si>
  <si>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</si>
  <si>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</si>
  <si>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</si>
  <si>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</si>
  <si>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</si>
  <si>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</si>
  <si>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</si>
  <si>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</si>
  <si>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</si>
  <si>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</si>
  <si>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</si>
  <si>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</si>
  <si>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</si>
  <si>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</si>
  <si>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</si>
  <si>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</si>
  <si>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</si>
  <si>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</si>
  <si>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</si>
  <si>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</si>
  <si>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</si>
  <si>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</si>
  <si>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</si>
  <si>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</si>
  <si>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</si>
  <si>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</si>
  <si>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</si>
  <si>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</si>
  <si>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</si>
  <si>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</si>
  <si>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</si>
  <si>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</si>
  <si>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</si>
  <si>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</si>
  <si>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</si>
  <si>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</si>
  <si>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</si>
  <si>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</si>
  <si>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</si>
  <si>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</si>
  <si>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</si>
  <si>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</si>
  <si>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</si>
  <si>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</si>
  <si>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</si>
  <si>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</si>
  <si>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</si>
  <si>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</si>
  <si>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</si>
  <si>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</si>
  <si>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</si>
  <si>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</si>
  <si>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</si>
  <si>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</si>
  <si>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</si>
  <si>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</si>
  <si>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</si>
  <si>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</si>
  <si>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</si>
  <si>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</si>
  <si>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</si>
  <si>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</si>
  <si>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</si>
  <si>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</si>
  <si>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</si>
  <si>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</si>
  <si>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</si>
  <si>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</si>
  <si>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</si>
  <si>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</si>
  <si>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</si>
  <si>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</si>
  <si>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</si>
  <si>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</si>
  <si>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</si>
  <si>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</si>
  <si>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</si>
  <si>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</si>
  <si>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</si>
  <si>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</si>
  <si>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</si>
  <si>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</si>
  <si>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</si>
  <si>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</si>
  <si>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</si>
  <si>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</si>
  <si>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</si>
  <si>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</si>
  <si>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</si>
  <si>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</si>
  <si>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</si>
  <si>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</si>
  <si>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</si>
  <si>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</si>
  <si>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</si>
  <si>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</si>
  <si>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</si>
  <si>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</si>
  <si>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</si>
  <si>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</si>
  <si>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</si>
  <si>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</si>
  <si>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</si>
  <si>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</si>
  <si>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</si>
  <si>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</si>
  <si>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</si>
  <si>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</si>
  <si>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</si>
  <si>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</si>
  <si>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</si>
  <si>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</si>
  <si>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</si>
  <si>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</si>
  <si>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</si>
  <si>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</si>
  <si>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</si>
  <si>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</si>
  <si>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</si>
  <si>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</si>
  <si>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</si>
  <si>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</si>
  <si>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</si>
  <si>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</si>
  <si>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</si>
  <si>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</si>
  <si>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</si>
  <si>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</si>
  <si>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</si>
  <si>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</si>
  <si>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</si>
  <si>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</si>
  <si>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</si>
  <si>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</si>
  <si>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</si>
  <si>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</si>
  <si>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</si>
  <si>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</si>
  <si>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</si>
  <si>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</si>
  <si>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</si>
  <si>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</si>
  <si>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</si>
  <si>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</si>
  <si>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</si>
  <si>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</si>
  <si>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</si>
  <si>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</si>
  <si>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</si>
  <si>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</si>
  <si>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</si>
  <si>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</si>
  <si>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</si>
  <si>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</si>
  <si>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</si>
  <si>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</si>
  <si>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</si>
  <si>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</si>
  <si>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</si>
  <si>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</si>
  <si>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</si>
  <si>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</si>
  <si>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</si>
  <si>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</si>
  <si>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</si>
  <si>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</si>
  <si>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</si>
  <si>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</si>
  <si>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</si>
  <si>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</si>
  <si>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</si>
  <si>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</si>
  <si>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</si>
  <si>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</si>
  <si>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</si>
  <si>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</si>
  <si>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</si>
  <si>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</si>
  <si>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</si>
  <si>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</si>
  <si>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</si>
  <si>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</si>
  <si>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</si>
  <si>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</si>
  <si>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</si>
  <si>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</si>
  <si>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</si>
  <si>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</si>
  <si>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</si>
  <si>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</si>
  <si>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</si>
  <si>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</si>
  <si>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</si>
  <si>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</si>
  <si>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</si>
  <si>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</si>
  <si>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</si>
  <si>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</si>
  <si>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</si>
  <si>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</si>
  <si>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</si>
  <si>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</si>
  <si>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</si>
  <si>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</si>
  <si>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</si>
  <si>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</si>
  <si>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</si>
  <si>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</si>
  <si>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</si>
  <si>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</si>
  <si>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</si>
  <si>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</si>
  <si>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</si>
  <si>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</si>
  <si>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</si>
  <si>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</si>
  <si>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</si>
  <si>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</si>
  <si>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</si>
  <si>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</si>
  <si>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</si>
  <si>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</si>
  <si>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</si>
  <si>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</si>
  <si>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</si>
  <si>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</si>
  <si>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</si>
  <si>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</si>
  <si>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</si>
  <si>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</si>
  <si>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</si>
  <si>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</si>
  <si>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</si>
  <si>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</si>
  <si>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</si>
  <si>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</si>
  <si>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</si>
  <si>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</si>
  <si>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</si>
  <si>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</si>
  <si>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</si>
  <si>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</si>
  <si>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</si>
  <si>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</si>
  <si>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</si>
  <si>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</si>
  <si>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</si>
  <si>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</si>
  <si>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</si>
  <si>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</si>
  <si>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</si>
  <si>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</si>
  <si>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</si>
  <si>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</si>
  <si>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</si>
  <si>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</si>
  <si>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</si>
  <si>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</si>
  <si>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</si>
  <si>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</si>
  <si>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</si>
  <si>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</si>
  <si>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</si>
  <si>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</si>
  <si>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</si>
  <si>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</si>
  <si>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</si>
  <si>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</si>
  <si>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</si>
  <si>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</si>
  <si>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</si>
  <si>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</si>
  <si>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</si>
  <si>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</si>
  <si>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</si>
  <si>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</si>
  <si>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</si>
  <si>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</si>
  <si>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</si>
  <si>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</si>
  <si>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</si>
  <si>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</si>
  <si>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</si>
  <si>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</si>
  <si>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</si>
  <si>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</si>
  <si>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</si>
  <si>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</si>
  <si>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</si>
  <si>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</si>
  <si>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</si>
  <si>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</si>
  <si>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</si>
  <si>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</si>
  <si>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</si>
  <si>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</si>
  <si>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</si>
  <si>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</si>
  <si>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</si>
  <si>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</si>
  <si>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</si>
  <si>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</si>
  <si>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</si>
  <si>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</si>
  <si>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</si>
  <si>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</si>
  <si>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</si>
  <si>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</si>
  <si>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</si>
  <si>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</si>
  <si>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</si>
  <si>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</si>
  <si>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</si>
  <si>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</si>
  <si>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</si>
  <si>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</si>
  <si>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</si>
  <si>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</si>
  <si>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</si>
  <si>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</si>
  <si>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</si>
  <si>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</si>
  <si>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</si>
  <si>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</si>
  <si>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</si>
  <si>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</si>
  <si>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</si>
  <si>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</si>
  <si>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</si>
  <si>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</si>
  <si>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</si>
  <si>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</si>
  <si>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</si>
  <si>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</si>
  <si>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</si>
  <si>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</si>
  <si>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</si>
  <si>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</si>
  <si>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</si>
  <si>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</si>
  <si>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</si>
  <si>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</si>
  <si>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</si>
  <si>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</si>
  <si>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</si>
  <si>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</si>
  <si>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</si>
  <si>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</si>
  <si>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</si>
  <si>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</si>
  <si>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</si>
  <si>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</si>
  <si>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</si>
  <si>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</si>
  <si>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</si>
  <si>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</si>
  <si>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</si>
  <si>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</si>
  <si>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</si>
  <si>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</si>
  <si>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</si>
  <si>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</si>
  <si>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</si>
  <si>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</si>
  <si>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</si>
  <si>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</si>
  <si>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</si>
  <si>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</si>
  <si>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</si>
  <si>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</si>
  <si>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</si>
  <si>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</si>
  <si>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</si>
  <si>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</si>
  <si>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</si>
  <si>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</si>
  <si>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</si>
  <si>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</si>
  <si>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</si>
  <si>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</si>
  <si>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</si>
  <si>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</si>
  <si>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</si>
  <si>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</si>
  <si>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</si>
  <si>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</si>
  <si>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</si>
  <si>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</si>
  <si>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</si>
  <si>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</si>
  <si>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</si>
  <si>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</si>
  <si>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</si>
  <si>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</si>
  <si>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</si>
  <si>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</si>
  <si>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</si>
  <si>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</si>
  <si>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</si>
  <si>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</si>
  <si>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</si>
  <si>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</si>
  <si>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</si>
  <si>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</si>
  <si>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</si>
  <si>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</si>
  <si>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</si>
  <si>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</si>
  <si>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</si>
  <si>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</si>
  <si>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</si>
  <si>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</si>
  <si>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</si>
  <si>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</si>
  <si>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</si>
  <si>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</si>
  <si>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</si>
  <si>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</si>
  <si>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</si>
  <si>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</si>
  <si>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</si>
  <si>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</si>
  <si>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</si>
  <si>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</si>
  <si>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</si>
  <si>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</si>
  <si>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</si>
  <si>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</si>
  <si>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</si>
  <si>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</si>
  <si>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</si>
  <si>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</si>
  <si>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</si>
  <si>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</si>
  <si>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</si>
  <si>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</si>
  <si>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</si>
  <si>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</si>
  <si>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</si>
  <si>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</si>
  <si>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</si>
  <si>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</si>
  <si>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</si>
  <si>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</si>
  <si>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</si>
  <si>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</si>
  <si>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</si>
  <si>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</si>
  <si>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</si>
  <si>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</si>
  <si>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</si>
  <si>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</si>
  <si>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</si>
  <si>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</si>
  <si>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</si>
  <si>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</si>
  <si>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</si>
  <si>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</si>
  <si>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</si>
  <si>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</si>
  <si>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</si>
  <si>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</si>
  <si>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</si>
  <si>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</si>
  <si>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</si>
  <si>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</si>
  <si>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</si>
  <si>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</si>
  <si>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</si>
  <si>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</si>
  <si>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</si>
  <si>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</si>
  <si>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</si>
  <si>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</si>
  <si>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</si>
  <si>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</si>
  <si>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</si>
  <si>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</si>
  <si>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</si>
  <si>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</si>
  <si>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</si>
  <si>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</si>
  <si>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</si>
  <si>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</si>
  <si>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</si>
  <si>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</si>
  <si>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</si>
  <si>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</si>
  <si>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</si>
  <si>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</si>
  <si>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</si>
  <si>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</si>
  <si>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</si>
  <si>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</si>
  <si>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</si>
  <si>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</si>
  <si>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</si>
  <si>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</si>
  <si>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</si>
  <si>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</si>
  <si>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</si>
  <si>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</si>
  <si>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</si>
  <si>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</si>
  <si>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</si>
  <si>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</si>
  <si>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</si>
  <si>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</si>
  <si>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</si>
  <si>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</si>
  <si>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</si>
  <si>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</si>
  <si>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</si>
  <si>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</si>
  <si>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</si>
  <si>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</si>
  <si>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</si>
  <si>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</si>
  <si>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</si>
  <si>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</si>
  <si>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</si>
  <si>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</si>
  <si>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</si>
  <si>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</si>
  <si>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</si>
  <si>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</si>
  <si>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</si>
  <si>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</si>
  <si>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</si>
  <si>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</si>
  <si>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</si>
  <si>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</si>
  <si>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</si>
  <si>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</si>
  <si>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</si>
  <si>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</si>
  <si>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</si>
  <si>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</si>
  <si>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</si>
  <si>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</si>
  <si>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</si>
  <si>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</si>
  <si>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</si>
  <si>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31043</t>
  </si>
  <si>
    <t>KNOKKE-HEIST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</si>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</sst>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272424.88356115669</c:v>
                </c:pt>
                <c:pt idx="1">
                  <c:v>242478.99583947778</c:v>
                </c:pt>
                <c:pt idx="2">
                  <c:v>3099.9409999999998</c:v>
                </c:pt>
                <c:pt idx="3">
                  <c:v>11721.927566093727</c:v>
                </c:pt>
                <c:pt idx="4">
                  <c:v>26872.132508018378</c:v>
                </c:pt>
                <c:pt idx="5">
                  <c:v>128527.30329385537</c:v>
                </c:pt>
                <c:pt idx="6">
                  <c:v>2251.6551315969659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272424.88356115669</c:v>
                </c:pt>
                <c:pt idx="1">
                  <c:v>242478.99583947778</c:v>
                </c:pt>
                <c:pt idx="2">
                  <c:v>3099.9409999999998</c:v>
                </c:pt>
                <c:pt idx="3">
                  <c:v>11721.927566093727</c:v>
                </c:pt>
                <c:pt idx="4">
                  <c:v>26872.132508018378</c:v>
                </c:pt>
                <c:pt idx="5">
                  <c:v>128527.30329385537</c:v>
                </c:pt>
                <c:pt idx="6">
                  <c:v>2251.6551315969659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55862.53749752327</c:v>
                </c:pt>
                <c:pt idx="2">
                  <c:v>49180.894442920617</c:v>
                </c:pt>
                <c:pt idx="3">
                  <c:v>672.96848786602845</c:v>
                </c:pt>
                <c:pt idx="4">
                  <c:v>2986.7684382290799</c:v>
                </c:pt>
                <c:pt idx="5">
                  <c:v>5435.3354839805152</c:v>
                </c:pt>
                <c:pt idx="6">
                  <c:v>32171.991182016074</c:v>
                </c:pt>
                <c:pt idx="7">
                  <c:v>546.42615216563115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55862.53749752327</c:v>
                </c:pt>
                <c:pt idx="2">
                  <c:v>49180.894442920617</c:v>
                </c:pt>
                <c:pt idx="3">
                  <c:v>672.96848786602845</c:v>
                </c:pt>
                <c:pt idx="4">
                  <c:v>2986.7684382290799</c:v>
                </c:pt>
                <c:pt idx="5">
                  <c:v>5435.3354839805152</c:v>
                </c:pt>
                <c:pt idx="6">
                  <c:v>32171.991182016074</c:v>
                </c:pt>
                <c:pt idx="7">
                  <c:v>546.42615216563115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31043</v>
      </c>
      <c r="B6" s="415"/>
      <c r="C6" s="416"/>
    </row>
    <row r="7" spans="1:7" s="413" customFormat="1" ht="15.75" customHeight="1">
      <c r="A7" s="417" t="str">
        <f>txtMunicipality</f>
        <v>KNOKKE-HEIST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0.21709074071604217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0.21709074071604217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16833</v>
      </c>
      <c r="C9" s="342">
        <v>17564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3412.05</v>
      </c>
    </row>
    <row r="15" spans="1:6">
      <c r="A15" s="348" t="s">
        <v>184</v>
      </c>
      <c r="B15" s="334">
        <v>23</v>
      </c>
    </row>
    <row r="16" spans="1:6">
      <c r="A16" s="348" t="s">
        <v>6</v>
      </c>
      <c r="B16" s="334">
        <v>575</v>
      </c>
    </row>
    <row r="17" spans="1:6">
      <c r="A17" s="348" t="s">
        <v>7</v>
      </c>
      <c r="B17" s="334">
        <v>1242</v>
      </c>
    </row>
    <row r="18" spans="1:6">
      <c r="A18" s="348" t="s">
        <v>8</v>
      </c>
      <c r="B18" s="334">
        <v>1519</v>
      </c>
    </row>
    <row r="19" spans="1:6">
      <c r="A19" s="348" t="s">
        <v>9</v>
      </c>
      <c r="B19" s="334">
        <v>1259</v>
      </c>
    </row>
    <row r="20" spans="1:6">
      <c r="A20" s="348" t="s">
        <v>10</v>
      </c>
      <c r="B20" s="334">
        <v>730</v>
      </c>
    </row>
    <row r="21" spans="1:6">
      <c r="A21" s="348" t="s">
        <v>11</v>
      </c>
      <c r="B21" s="334">
        <v>1020</v>
      </c>
    </row>
    <row r="22" spans="1:6">
      <c r="A22" s="348" t="s">
        <v>12</v>
      </c>
      <c r="B22" s="334">
        <v>4945</v>
      </c>
    </row>
    <row r="23" spans="1:6">
      <c r="A23" s="348" t="s">
        <v>13</v>
      </c>
      <c r="B23" s="334">
        <v>45</v>
      </c>
    </row>
    <row r="24" spans="1:6">
      <c r="A24" s="348" t="s">
        <v>14</v>
      </c>
      <c r="B24" s="334">
        <v>4</v>
      </c>
    </row>
    <row r="25" spans="1:6">
      <c r="A25" s="348" t="s">
        <v>15</v>
      </c>
      <c r="B25" s="334">
        <v>293</v>
      </c>
    </row>
    <row r="26" spans="1:6">
      <c r="A26" s="348" t="s">
        <v>16</v>
      </c>
      <c r="B26" s="334">
        <v>276</v>
      </c>
    </row>
    <row r="27" spans="1:6">
      <c r="A27" s="348" t="s">
        <v>17</v>
      </c>
      <c r="B27" s="334">
        <v>0</v>
      </c>
    </row>
    <row r="28" spans="1:6" s="356" customFormat="1">
      <c r="A28" s="355" t="s">
        <v>18</v>
      </c>
      <c r="B28" s="355">
        <v>43951</v>
      </c>
    </row>
    <row r="29" spans="1:6">
      <c r="A29" s="355" t="s">
        <v>744</v>
      </c>
      <c r="B29" s="355">
        <v>500</v>
      </c>
      <c r="C29" s="356"/>
      <c r="D29" s="356"/>
      <c r="E29" s="356"/>
      <c r="F29" s="356"/>
    </row>
    <row r="30" spans="1:6">
      <c r="A30" s="341" t="s">
        <v>745</v>
      </c>
      <c r="B30" s="341">
        <v>90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1067605.39192605</v>
      </c>
      <c r="E36" s="334">
        <v>3</v>
      </c>
      <c r="F36" s="334">
        <v>7398.7593461841998</v>
      </c>
    </row>
    <row r="37" spans="1:6">
      <c r="A37" s="348" t="s">
        <v>25</v>
      </c>
      <c r="B37" s="348" t="s">
        <v>28</v>
      </c>
      <c r="C37" s="334">
        <v>0</v>
      </c>
      <c r="D37" s="334">
        <v>0</v>
      </c>
      <c r="E37" s="334">
        <v>0</v>
      </c>
      <c r="F37" s="334">
        <v>0</v>
      </c>
    </row>
    <row r="38" spans="1:6">
      <c r="A38" s="348" t="s">
        <v>25</v>
      </c>
      <c r="B38" s="348" t="s">
        <v>29</v>
      </c>
      <c r="C38" s="334">
        <v>0</v>
      </c>
      <c r="D38" s="334">
        <v>0</v>
      </c>
      <c r="E38" s="334">
        <v>5</v>
      </c>
      <c r="F38" s="334">
        <v>14768.9227960321</v>
      </c>
    </row>
    <row r="39" spans="1:6">
      <c r="A39" s="348" t="s">
        <v>30</v>
      </c>
      <c r="B39" s="348" t="s">
        <v>31</v>
      </c>
      <c r="C39" s="334">
        <v>18835</v>
      </c>
      <c r="D39" s="334">
        <v>228580070.14732</v>
      </c>
      <c r="E39" s="334">
        <v>25296</v>
      </c>
      <c r="F39" s="334">
        <v>63130558.648983501</v>
      </c>
    </row>
    <row r="40" spans="1:6">
      <c r="A40" s="348" t="s">
        <v>30</v>
      </c>
      <c r="B40" s="348" t="s">
        <v>29</v>
      </c>
      <c r="C40" s="334">
        <v>1</v>
      </c>
      <c r="D40" s="334">
        <v>3425.4722417865</v>
      </c>
      <c r="E40" s="334">
        <v>1</v>
      </c>
      <c r="F40" s="334">
        <v>1297.7496471944</v>
      </c>
    </row>
    <row r="41" spans="1:6">
      <c r="A41" s="348" t="s">
        <v>32</v>
      </c>
      <c r="B41" s="348" t="s">
        <v>33</v>
      </c>
      <c r="C41" s="334">
        <v>509</v>
      </c>
      <c r="D41" s="334">
        <v>7527016.8932850501</v>
      </c>
      <c r="E41" s="334">
        <v>890</v>
      </c>
      <c r="F41" s="334">
        <v>5288217.4971738197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26671.892797947599</v>
      </c>
      <c r="E44" s="334">
        <v>18</v>
      </c>
      <c r="F44" s="334">
        <v>201490.60497520701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169952.46893506599</v>
      </c>
      <c r="E47" s="334">
        <v>10</v>
      </c>
      <c r="F47" s="334">
        <v>69254.985121438993</v>
      </c>
    </row>
    <row r="48" spans="1:6">
      <c r="A48" s="348" t="s">
        <v>32</v>
      </c>
      <c r="B48" s="348" t="s">
        <v>29</v>
      </c>
      <c r="C48" s="334">
        <v>68</v>
      </c>
      <c r="D48" s="334">
        <v>1149194.27898981</v>
      </c>
      <c r="E48" s="334">
        <v>94</v>
      </c>
      <c r="F48" s="334">
        <v>694913.37827710004</v>
      </c>
    </row>
    <row r="49" spans="1:6">
      <c r="A49" s="348" t="s">
        <v>32</v>
      </c>
      <c r="B49" s="348" t="s">
        <v>40</v>
      </c>
      <c r="C49" s="334">
        <v>7</v>
      </c>
      <c r="D49" s="334">
        <v>138144.520011738</v>
      </c>
      <c r="E49" s="334">
        <v>10</v>
      </c>
      <c r="F49" s="334">
        <v>79916.626015584698</v>
      </c>
    </row>
    <row r="50" spans="1:6">
      <c r="A50" s="348" t="s">
        <v>32</v>
      </c>
      <c r="B50" s="348" t="s">
        <v>41</v>
      </c>
      <c r="C50" s="334">
        <v>36</v>
      </c>
      <c r="D50" s="334">
        <v>2144594.9334398601</v>
      </c>
      <c r="E50" s="334">
        <v>66</v>
      </c>
      <c r="F50" s="334">
        <v>2079430.89952341</v>
      </c>
    </row>
    <row r="51" spans="1:6">
      <c r="A51" s="348" t="s">
        <v>42</v>
      </c>
      <c r="B51" s="348" t="s">
        <v>43</v>
      </c>
      <c r="C51" s="334">
        <v>41</v>
      </c>
      <c r="D51" s="334">
        <v>736521.89984640304</v>
      </c>
      <c r="E51" s="334">
        <v>140</v>
      </c>
      <c r="F51" s="334">
        <v>1945543.0558519999</v>
      </c>
    </row>
    <row r="52" spans="1:6">
      <c r="A52" s="348" t="s">
        <v>42</v>
      </c>
      <c r="B52" s="348" t="s">
        <v>29</v>
      </c>
      <c r="C52" s="334">
        <v>14</v>
      </c>
      <c r="D52" s="334">
        <v>386054.777077401</v>
      </c>
      <c r="E52" s="334">
        <v>12</v>
      </c>
      <c r="F52" s="334">
        <v>59874.011785273899</v>
      </c>
    </row>
    <row r="53" spans="1:6">
      <c r="A53" s="348" t="s">
        <v>44</v>
      </c>
      <c r="B53" s="348" t="s">
        <v>45</v>
      </c>
      <c r="C53" s="334">
        <v>5603</v>
      </c>
      <c r="D53" s="334">
        <v>54859237.273934402</v>
      </c>
      <c r="E53" s="334">
        <v>9396</v>
      </c>
      <c r="F53" s="334">
        <v>18396729.231476501</v>
      </c>
    </row>
    <row r="54" spans="1:6">
      <c r="A54" s="348" t="s">
        <v>46</v>
      </c>
      <c r="B54" s="348" t="s">
        <v>47</v>
      </c>
      <c r="C54" s="334">
        <v>0</v>
      </c>
      <c r="D54" s="334">
        <v>0</v>
      </c>
      <c r="E54" s="334">
        <v>1</v>
      </c>
      <c r="F54" s="334">
        <v>3099941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157</v>
      </c>
      <c r="D57" s="334">
        <v>7332368.8342898702</v>
      </c>
      <c r="E57" s="334">
        <v>390</v>
      </c>
      <c r="F57" s="334">
        <v>13148747.9278138</v>
      </c>
    </row>
    <row r="58" spans="1:6">
      <c r="A58" s="348" t="s">
        <v>49</v>
      </c>
      <c r="B58" s="348" t="s">
        <v>51</v>
      </c>
      <c r="C58" s="334">
        <v>177</v>
      </c>
      <c r="D58" s="334">
        <v>7918248.1508509303</v>
      </c>
      <c r="E58" s="334">
        <v>256</v>
      </c>
      <c r="F58" s="334">
        <v>4647377.7814221801</v>
      </c>
    </row>
    <row r="59" spans="1:6">
      <c r="A59" s="348" t="s">
        <v>49</v>
      </c>
      <c r="B59" s="348" t="s">
        <v>52</v>
      </c>
      <c r="C59" s="334">
        <v>804</v>
      </c>
      <c r="D59" s="334">
        <v>16630886.8312105</v>
      </c>
      <c r="E59" s="334">
        <v>1489</v>
      </c>
      <c r="F59" s="334">
        <v>28519060.001370899</v>
      </c>
    </row>
    <row r="60" spans="1:6">
      <c r="A60" s="348" t="s">
        <v>49</v>
      </c>
      <c r="B60" s="348" t="s">
        <v>53</v>
      </c>
      <c r="C60" s="334">
        <v>427</v>
      </c>
      <c r="D60" s="334">
        <v>22098209.346566301</v>
      </c>
      <c r="E60" s="334">
        <v>555</v>
      </c>
      <c r="F60" s="334">
        <v>17396723.832023401</v>
      </c>
    </row>
    <row r="61" spans="1:6">
      <c r="A61" s="348" t="s">
        <v>49</v>
      </c>
      <c r="B61" s="348" t="s">
        <v>54</v>
      </c>
      <c r="C61" s="334">
        <v>2052</v>
      </c>
      <c r="D61" s="334">
        <v>62924430.3747788</v>
      </c>
      <c r="E61" s="334">
        <v>5050</v>
      </c>
      <c r="F61" s="334">
        <v>28342604.016571499</v>
      </c>
    </row>
    <row r="62" spans="1:6">
      <c r="A62" s="348" t="s">
        <v>49</v>
      </c>
      <c r="B62" s="348" t="s">
        <v>55</v>
      </c>
      <c r="C62" s="334">
        <v>20</v>
      </c>
      <c r="D62" s="334">
        <v>1550817.71956526</v>
      </c>
      <c r="E62" s="334">
        <v>21</v>
      </c>
      <c r="F62" s="334">
        <v>292812.47786373203</v>
      </c>
    </row>
    <row r="63" spans="1:6">
      <c r="A63" s="348" t="s">
        <v>49</v>
      </c>
      <c r="B63" s="348" t="s">
        <v>29</v>
      </c>
      <c r="C63" s="334">
        <v>210</v>
      </c>
      <c r="D63" s="334">
        <v>10945744.2050124</v>
      </c>
      <c r="E63" s="334">
        <v>176</v>
      </c>
      <c r="F63" s="334">
        <v>3574389.5793422</v>
      </c>
    </row>
    <row r="64" spans="1:6">
      <c r="A64" s="348" t="s">
        <v>56</v>
      </c>
      <c r="B64" s="348" t="s">
        <v>57</v>
      </c>
      <c r="C64" s="334">
        <v>0</v>
      </c>
      <c r="D64" s="334">
        <v>0</v>
      </c>
      <c r="E64" s="334">
        <v>0</v>
      </c>
      <c r="F64" s="334">
        <v>0</v>
      </c>
    </row>
    <row r="65" spans="1:6">
      <c r="A65" s="348" t="s">
        <v>56</v>
      </c>
      <c r="B65" s="348" t="s">
        <v>29</v>
      </c>
      <c r="C65" s="334">
        <v>11</v>
      </c>
      <c r="D65" s="334">
        <v>298671.415630078</v>
      </c>
      <c r="E65" s="334">
        <v>3</v>
      </c>
      <c r="F65" s="334">
        <v>12491.7478358846</v>
      </c>
    </row>
    <row r="66" spans="1:6">
      <c r="A66" s="348" t="s">
        <v>56</v>
      </c>
      <c r="B66" s="348" t="s">
        <v>58</v>
      </c>
      <c r="C66" s="334">
        <v>0</v>
      </c>
      <c r="D66" s="334">
        <v>0</v>
      </c>
      <c r="E66" s="334">
        <v>30</v>
      </c>
      <c r="F66" s="334">
        <v>615195.86419282004</v>
      </c>
    </row>
    <row r="67" spans="1:6">
      <c r="A67" s="355" t="s">
        <v>56</v>
      </c>
      <c r="B67" s="355" t="s">
        <v>59</v>
      </c>
      <c r="C67" s="334">
        <v>0</v>
      </c>
      <c r="D67" s="334">
        <v>0</v>
      </c>
      <c r="E67" s="334">
        <v>0</v>
      </c>
      <c r="F67" s="334">
        <v>0</v>
      </c>
    </row>
    <row r="68" spans="1:6">
      <c r="A68" s="341" t="s">
        <v>56</v>
      </c>
      <c r="B68" s="341" t="s">
        <v>60</v>
      </c>
      <c r="C68" s="334">
        <v>20</v>
      </c>
      <c r="D68" s="334">
        <v>284019.25955079601</v>
      </c>
      <c r="E68" s="334">
        <v>42</v>
      </c>
      <c r="F68" s="334">
        <v>683117.90152627102</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110670250</v>
      </c>
      <c r="E73" s="475">
        <v>107038287.93950228</v>
      </c>
    </row>
    <row r="74" spans="1:6">
      <c r="A74" s="348" t="s">
        <v>64</v>
      </c>
      <c r="B74" s="348" t="s">
        <v>657</v>
      </c>
      <c r="C74" s="1295" t="s">
        <v>659</v>
      </c>
      <c r="D74" s="475">
        <v>11829819.5</v>
      </c>
      <c r="E74" s="475">
        <v>11143683.593623457</v>
      </c>
    </row>
    <row r="75" spans="1:6">
      <c r="A75" s="348" t="s">
        <v>65</v>
      </c>
      <c r="B75" s="348" t="s">
        <v>656</v>
      </c>
      <c r="C75" s="1295" t="s">
        <v>660</v>
      </c>
      <c r="D75" s="475">
        <v>29535151</v>
      </c>
      <c r="E75" s="475">
        <v>27718406.80699202</v>
      </c>
    </row>
    <row r="76" spans="1:6">
      <c r="A76" s="348" t="s">
        <v>65</v>
      </c>
      <c r="B76" s="348" t="s">
        <v>657</v>
      </c>
      <c r="C76" s="1295" t="s">
        <v>661</v>
      </c>
      <c r="D76" s="475">
        <v>1191762.5</v>
      </c>
      <c r="E76" s="475">
        <v>1101112.4568216028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439415</v>
      </c>
      <c r="C83" s="475">
        <v>439047.26679019834</v>
      </c>
    </row>
    <row r="84" spans="1:6">
      <c r="A84" s="341" t="s">
        <v>337</v>
      </c>
      <c r="B84" s="1296">
        <v>179147</v>
      </c>
      <c r="C84" s="1296">
        <v>178579.39681426235</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2341.7341136812488</v>
      </c>
    </row>
    <row r="92" spans="1:6">
      <c r="A92" s="341" t="s">
        <v>69</v>
      </c>
      <c r="B92" s="342">
        <v>1089.8750286573384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9792</v>
      </c>
    </row>
    <row r="98" spans="1:6">
      <c r="A98" s="348" t="s">
        <v>72</v>
      </c>
      <c r="B98" s="334">
        <v>3</v>
      </c>
    </row>
    <row r="99" spans="1:6">
      <c r="A99" s="348" t="s">
        <v>73</v>
      </c>
      <c r="B99" s="334">
        <v>58</v>
      </c>
    </row>
    <row r="100" spans="1:6">
      <c r="A100" s="348" t="s">
        <v>74</v>
      </c>
      <c r="B100" s="334">
        <v>1420</v>
      </c>
    </row>
    <row r="101" spans="1:6">
      <c r="A101" s="348" t="s">
        <v>75</v>
      </c>
      <c r="B101" s="334">
        <v>56</v>
      </c>
    </row>
    <row r="102" spans="1:6">
      <c r="A102" s="348" t="s">
        <v>76</v>
      </c>
      <c r="B102" s="334">
        <v>435</v>
      </c>
    </row>
    <row r="103" spans="1:6">
      <c r="A103" s="348" t="s">
        <v>77</v>
      </c>
      <c r="B103" s="334">
        <v>92</v>
      </c>
    </row>
    <row r="104" spans="1:6">
      <c r="A104" s="348" t="s">
        <v>78</v>
      </c>
      <c r="B104" s="334">
        <v>3205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1</v>
      </c>
    </row>
    <row r="131" spans="1:6">
      <c r="A131" s="348" t="s">
        <v>296</v>
      </c>
      <c r="B131" s="334">
        <v>4</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193997.26786323989</v>
      </c>
      <c r="C3" s="43" t="s">
        <v>170</v>
      </c>
      <c r="D3" s="43"/>
      <c r="E3" s="154"/>
      <c r="F3" s="43"/>
      <c r="G3" s="43"/>
      <c r="H3" s="43"/>
      <c r="I3" s="43"/>
      <c r="J3" s="43"/>
      <c r="K3" s="96"/>
    </row>
    <row r="4" spans="1:11">
      <c r="A4" s="383" t="s">
        <v>171</v>
      </c>
      <c r="B4" s="49">
        <f>IF(ISERROR('SEAP template'!B78+'SEAP template'!C78),0,'SEAP template'!B78+'SEAP template'!C78)</f>
        <v>3431.6091423385869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0.21709074071604217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3099.9409999999998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3099.9409999999998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0.21709074071604217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672.96848786602845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63131.856398630691</v>
      </c>
      <c r="C5" s="17">
        <f>IF(ISERROR('Eigen informatie GS &amp; warmtenet'!B57),0,'Eigen informatie GS &amp; warmtenet'!B57)</f>
        <v>0</v>
      </c>
      <c r="D5" s="30">
        <f>(SUM(HH_hh_gas_kWh,HH_rest_gas_kWh)/1000)*0.902</f>
        <v>206182.31304884475</v>
      </c>
      <c r="E5" s="17">
        <f>B46*B57</f>
        <v>0</v>
      </c>
      <c r="F5" s="17">
        <f>B51*B62</f>
        <v>0</v>
      </c>
      <c r="G5" s="18"/>
      <c r="H5" s="17"/>
      <c r="I5" s="17"/>
      <c r="J5" s="17">
        <f>B50*B61+C50*C61</f>
        <v>0</v>
      </c>
      <c r="K5" s="17"/>
      <c r="L5" s="17"/>
      <c r="M5" s="17"/>
      <c r="N5" s="17">
        <f>B48*B59+C48*C59</f>
        <v>0</v>
      </c>
      <c r="O5" s="17">
        <f>B69*B70*B71</f>
        <v>196.98000000000002</v>
      </c>
      <c r="P5" s="17">
        <f>B77*B78*B79/1000-B77*B78*B79/1000/B80</f>
        <v>572</v>
      </c>
    </row>
    <row r="6" spans="1:16">
      <c r="A6" s="16" t="s">
        <v>621</v>
      </c>
      <c r="B6" s="788">
        <f>kWh_PV_kleiner_dan_10kW</f>
        <v>2341.7341136812488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65473.590512311937</v>
      </c>
      <c r="C8" s="21">
        <f>C5</f>
        <v>0</v>
      </c>
      <c r="D8" s="21">
        <f>D5</f>
        <v>206182.31304884475</v>
      </c>
      <c r="E8" s="21">
        <f>E5</f>
        <v>0</v>
      </c>
      <c r="F8" s="21">
        <f>F5</f>
        <v>0</v>
      </c>
      <c r="G8" s="21"/>
      <c r="H8" s="21"/>
      <c r="I8" s="21"/>
      <c r="J8" s="21">
        <f>J5</f>
        <v>0</v>
      </c>
      <c r="K8" s="21"/>
      <c r="L8" s="21">
        <f>L5</f>
        <v>0</v>
      </c>
      <c r="M8" s="21">
        <f>M5</f>
        <v>0</v>
      </c>
      <c r="N8" s="21">
        <f>N5</f>
        <v>0</v>
      </c>
      <c r="O8" s="21">
        <f>O5</f>
        <v>196.98000000000002</v>
      </c>
      <c r="P8" s="21">
        <f>P5</f>
        <v>572</v>
      </c>
    </row>
    <row r="9" spans="1:16">
      <c r="B9" s="19"/>
      <c r="C9" s="19"/>
      <c r="D9" s="258"/>
      <c r="E9" s="19"/>
      <c r="F9" s="19"/>
      <c r="G9" s="19"/>
      <c r="H9" s="19"/>
      <c r="I9" s="19"/>
      <c r="J9" s="19"/>
      <c r="K9" s="19"/>
      <c r="L9" s="19"/>
      <c r="M9" s="19"/>
      <c r="N9" s="19"/>
      <c r="O9" s="19"/>
      <c r="P9" s="19"/>
    </row>
    <row r="10" spans="1:16">
      <c r="A10" s="24" t="s">
        <v>214</v>
      </c>
      <c r="B10" s="25">
        <f ca="1">'EF ele_warmte'!B12</f>
        <v>0.21709074071604217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14213.71026165663</v>
      </c>
      <c r="C12" s="23">
        <f ca="1">C10*C8</f>
        <v>0</v>
      </c>
      <c r="D12" s="23">
        <f>D8*D10</f>
        <v>41648.827235866644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9792</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3.7809647979139509</v>
      </c>
      <c r="D20" s="229"/>
      <c r="E20" s="15"/>
    </row>
    <row r="21" spans="1:7">
      <c r="A21" s="171" t="s">
        <v>74</v>
      </c>
      <c r="B21" s="37">
        <f>aantalw2001_elektriciteit</f>
        <v>1420</v>
      </c>
      <c r="C21" s="167">
        <f>IF(ISERROR(B21/SUM($B$20,$B$21,$B$22)*100),0,B21/SUM($B$20,$B$21,$B$22)*100)</f>
        <v>92.568448500651897</v>
      </c>
      <c r="D21" s="229"/>
      <c r="E21" s="15"/>
    </row>
    <row r="22" spans="1:7">
      <c r="A22" s="171" t="s">
        <v>75</v>
      </c>
      <c r="B22" s="37">
        <f>aantalw2001_hout</f>
        <v>56</v>
      </c>
      <c r="C22" s="167">
        <f>IF(ISERROR(B22/SUM($B$20,$B$21,$B$22)*100),0,B22/SUM($B$20,$B$21,$B$22)*100)</f>
        <v>3.6505867014341589</v>
      </c>
      <c r="D22" s="229"/>
      <c r="E22" s="15"/>
    </row>
    <row r="23" spans="1:7">
      <c r="A23" s="171" t="s">
        <v>76</v>
      </c>
      <c r="B23" s="37">
        <f>aantalw2001_niet_gespec</f>
        <v>435</v>
      </c>
      <c r="C23" s="166" t="s">
        <v>111</v>
      </c>
      <c r="D23" s="228"/>
      <c r="E23" s="15"/>
    </row>
    <row r="24" spans="1:7">
      <c r="A24" s="171" t="s">
        <v>77</v>
      </c>
      <c r="B24" s="37">
        <f>aantalw2001_steenkool</f>
        <v>92</v>
      </c>
      <c r="C24" s="166" t="s">
        <v>111</v>
      </c>
      <c r="D24" s="229"/>
      <c r="E24" s="15"/>
    </row>
    <row r="25" spans="1:7">
      <c r="A25" s="171" t="s">
        <v>78</v>
      </c>
      <c r="B25" s="37">
        <f>aantalw2001_stookolie</f>
        <v>3205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16833</v>
      </c>
      <c r="C28" s="36"/>
      <c r="D28" s="228"/>
    </row>
    <row r="29" spans="1:7" s="15" customFormat="1">
      <c r="A29" s="230" t="s">
        <v>794</v>
      </c>
      <c r="B29" s="37">
        <f>SUM(HH_hh_gas_aantal,HH_rest_gas_aantal)</f>
        <v>18836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18836</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18836</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95921.715616407717</v>
      </c>
      <c r="C5" s="17">
        <f>IF(ISERROR('Eigen informatie GS &amp; warmtenet'!B58),0,'Eigen informatie GS &amp; warmtenet'!B58)</f>
        <v>0</v>
      </c>
      <c r="D5" s="30">
        <f>SUM(D6:D12)</f>
        <v>116719.43632697119</v>
      </c>
      <c r="E5" s="17">
        <f>SUM(E6:E12)</f>
        <v>1348.4472038196391</v>
      </c>
      <c r="F5" s="17">
        <f>SUM(F6:F12)</f>
        <v>16755.244933689988</v>
      </c>
      <c r="G5" s="18"/>
      <c r="H5" s="17"/>
      <c r="I5" s="17"/>
      <c r="J5" s="17">
        <f>SUM(J6:J12)</f>
        <v>0.29406325041565157</v>
      </c>
      <c r="K5" s="17"/>
      <c r="L5" s="17"/>
      <c r="M5" s="17"/>
      <c r="N5" s="17">
        <f>SUM(N6:N12)</f>
        <v>11656.027695338813</v>
      </c>
      <c r="O5" s="17">
        <f>B38*B39*B40</f>
        <v>1.5633333333333335</v>
      </c>
      <c r="P5" s="17">
        <f>B46*B47*B48/1000-B46*B47*B48/1000/B49</f>
        <v>76.266666666666666</v>
      </c>
      <c r="R5" s="32"/>
    </row>
    <row r="6" spans="1:18">
      <c r="A6" s="32" t="s">
        <v>54</v>
      </c>
      <c r="B6" s="37">
        <f>B26</f>
        <v>28342.604016571499</v>
      </c>
      <c r="C6" s="33"/>
      <c r="D6" s="37">
        <f>IF(ISERROR(TER_kantoor_gas_kWh/1000),0,TER_kantoor_gas_kWh/1000)*0.902</f>
        <v>56757.836198050478</v>
      </c>
      <c r="E6" s="33">
        <f>$C$26*'E Balans VL '!I12/100/3.6*1000000</f>
        <v>0.17764201537345525</v>
      </c>
      <c r="F6" s="33">
        <f>$C$26*('E Balans VL '!L12+'E Balans VL '!N12)/100/3.6*1000000</f>
        <v>4259.101415801515</v>
      </c>
      <c r="G6" s="34"/>
      <c r="H6" s="33"/>
      <c r="I6" s="33"/>
      <c r="J6" s="33">
        <f>$C$26*('E Balans VL '!D12+'E Balans VL '!E12)/100/3.6*1000000</f>
        <v>0</v>
      </c>
      <c r="K6" s="33"/>
      <c r="L6" s="33"/>
      <c r="M6" s="33"/>
      <c r="N6" s="33">
        <f>$C$26*'E Balans VL '!Y12/100/3.6*1000000</f>
        <v>27.105498489632517</v>
      </c>
      <c r="O6" s="33"/>
      <c r="P6" s="33"/>
      <c r="R6" s="32"/>
    </row>
    <row r="7" spans="1:18">
      <c r="A7" s="32" t="s">
        <v>53</v>
      </c>
      <c r="B7" s="37">
        <f t="shared" ref="B7:B12" si="0">B27</f>
        <v>17396.723832023399</v>
      </c>
      <c r="C7" s="33"/>
      <c r="D7" s="37">
        <f>IF(ISERROR(TER_horeca_gas_kWh/1000),0,TER_horeca_gas_kWh/1000)*0.902</f>
        <v>19932.584830602806</v>
      </c>
      <c r="E7" s="33">
        <f>$C$27*'E Balans VL '!I9/100/3.6*1000000</f>
        <v>249.11818753355792</v>
      </c>
      <c r="F7" s="33">
        <f>$C$27*('E Balans VL '!L9+'E Balans VL '!N9)/100/3.6*1000000</f>
        <v>2202.9990031909761</v>
      </c>
      <c r="G7" s="34"/>
      <c r="H7" s="33"/>
      <c r="I7" s="33"/>
      <c r="J7" s="33">
        <f>$C$27*('E Balans VL '!D9+'E Balans VL '!E9)/100/3.6*1000000</f>
        <v>0</v>
      </c>
      <c r="K7" s="33"/>
      <c r="L7" s="33"/>
      <c r="M7" s="33"/>
      <c r="N7" s="33">
        <f>$C$27*'E Balans VL '!Y9/100/3.6*1000000</f>
        <v>5.0011745368713081</v>
      </c>
      <c r="O7" s="33"/>
      <c r="P7" s="33"/>
      <c r="R7" s="32"/>
    </row>
    <row r="8" spans="1:18">
      <c r="A8" s="6" t="s">
        <v>52</v>
      </c>
      <c r="B8" s="37">
        <f t="shared" si="0"/>
        <v>28519.060001370901</v>
      </c>
      <c r="C8" s="33"/>
      <c r="D8" s="37">
        <f>IF(ISERROR(TER_handel_gas_kWh/1000),0,TER_handel_gas_kWh/1000)*0.902</f>
        <v>15001.059921751872</v>
      </c>
      <c r="E8" s="33">
        <f>$C$28*'E Balans VL '!I13/100/3.6*1000000</f>
        <v>1034.3827894368019</v>
      </c>
      <c r="F8" s="33">
        <f>$C$28*('E Balans VL '!L13+'E Balans VL '!N13)/100/3.6*1000000</f>
        <v>5493.0597301062162</v>
      </c>
      <c r="G8" s="34"/>
      <c r="H8" s="33"/>
      <c r="I8" s="33"/>
      <c r="J8" s="33">
        <f>$C$28*('E Balans VL '!D13+'E Balans VL '!E13)/100/3.6*1000000</f>
        <v>0</v>
      </c>
      <c r="K8" s="33"/>
      <c r="L8" s="33"/>
      <c r="M8" s="33"/>
      <c r="N8" s="33">
        <f>$C$28*'E Balans VL '!Y13/100/3.6*1000000</f>
        <v>39.505460044951114</v>
      </c>
      <c r="O8" s="33"/>
      <c r="P8" s="33"/>
      <c r="R8" s="32"/>
    </row>
    <row r="9" spans="1:18">
      <c r="A9" s="32" t="s">
        <v>51</v>
      </c>
      <c r="B9" s="37">
        <f t="shared" si="0"/>
        <v>4647.3777814221803</v>
      </c>
      <c r="C9" s="33"/>
      <c r="D9" s="37">
        <f>IF(ISERROR(TER_gezond_gas_kWh/1000),0,TER_gezond_gas_kWh/1000)*0.902</f>
        <v>7142.2598320675388</v>
      </c>
      <c r="E9" s="33">
        <f>$C$29*'E Balans VL '!I10/100/3.6*1000000</f>
        <v>0.29097173368309381</v>
      </c>
      <c r="F9" s="33">
        <f>$C$29*('E Balans VL '!L10+'E Balans VL '!N10)/100/3.6*1000000</f>
        <v>690.38211934804235</v>
      </c>
      <c r="G9" s="34"/>
      <c r="H9" s="33"/>
      <c r="I9" s="33"/>
      <c r="J9" s="33">
        <f>$C$29*('E Balans VL '!D10+'E Balans VL '!E10)/100/3.6*1000000</f>
        <v>0</v>
      </c>
      <c r="K9" s="33"/>
      <c r="L9" s="33"/>
      <c r="M9" s="33"/>
      <c r="N9" s="33">
        <f>$C$29*'E Balans VL '!Y10/100/3.6*1000000</f>
        <v>71.886087956661996</v>
      </c>
      <c r="O9" s="33"/>
      <c r="P9" s="33"/>
      <c r="R9" s="32"/>
    </row>
    <row r="10" spans="1:18">
      <c r="A10" s="32" t="s">
        <v>50</v>
      </c>
      <c r="B10" s="37">
        <f t="shared" si="0"/>
        <v>13148.7479278138</v>
      </c>
      <c r="C10" s="33"/>
      <c r="D10" s="37">
        <f>IF(ISERROR(TER_ander_gas_kWh/1000),0,TER_ander_gas_kWh/1000)*0.902</f>
        <v>6613.7966885294636</v>
      </c>
      <c r="E10" s="33">
        <f>$C$30*'E Balans VL '!I14/100/3.6*1000000</f>
        <v>15.672837673094966</v>
      </c>
      <c r="F10" s="33">
        <f>$C$30*('E Balans VL '!L14+'E Balans VL '!N14)/100/3.6*1000000</f>
        <v>3440.2970053367685</v>
      </c>
      <c r="G10" s="34"/>
      <c r="H10" s="33"/>
      <c r="I10" s="33"/>
      <c r="J10" s="33">
        <f>$C$30*('E Balans VL '!D14+'E Balans VL '!E14)/100/3.6*1000000</f>
        <v>0.28540777584412702</v>
      </c>
      <c r="K10" s="33"/>
      <c r="L10" s="33"/>
      <c r="M10" s="33"/>
      <c r="N10" s="33">
        <f>$C$30*'E Balans VL '!Y14/100/3.6*1000000</f>
        <v>11165.594994966574</v>
      </c>
      <c r="O10" s="33"/>
      <c r="P10" s="33"/>
      <c r="R10" s="32"/>
    </row>
    <row r="11" spans="1:18">
      <c r="A11" s="32" t="s">
        <v>55</v>
      </c>
      <c r="B11" s="37">
        <f t="shared" si="0"/>
        <v>292.812477863732</v>
      </c>
      <c r="C11" s="33"/>
      <c r="D11" s="37">
        <f>IF(ISERROR(TER_onderwijs_gas_kWh/1000),0,TER_onderwijs_gas_kWh/1000)*0.902</f>
        <v>1398.8375830478644</v>
      </c>
      <c r="E11" s="33">
        <f>$C$31*'E Balans VL '!I11/100/3.6*1000000</f>
        <v>4.4180686716219775</v>
      </c>
      <c r="F11" s="33">
        <f>$C$31*('E Balans VL '!L11+'E Balans VL '!N11)/100/3.6*1000000</f>
        <v>51.305423940223271</v>
      </c>
      <c r="G11" s="34"/>
      <c r="H11" s="33"/>
      <c r="I11" s="33"/>
      <c r="J11" s="33">
        <f>$C$31*('E Balans VL '!D11+'E Balans VL '!E11)/100/3.6*1000000</f>
        <v>0</v>
      </c>
      <c r="K11" s="33"/>
      <c r="L11" s="33"/>
      <c r="M11" s="33"/>
      <c r="N11" s="33">
        <f>$C$31*'E Balans VL '!Y11/100/3.6*1000000</f>
        <v>0.82399657316082897</v>
      </c>
      <c r="O11" s="33"/>
      <c r="P11" s="33"/>
      <c r="R11" s="32"/>
    </row>
    <row r="12" spans="1:18">
      <c r="A12" s="32" t="s">
        <v>260</v>
      </c>
      <c r="B12" s="37">
        <f t="shared" si="0"/>
        <v>3574.3895793421998</v>
      </c>
      <c r="C12" s="33"/>
      <c r="D12" s="37">
        <f>IF(ISERROR(TER_rest_gas_kWh/1000),0,TER_rest_gas_kWh/1000)*0.902</f>
        <v>9873.0612729211844</v>
      </c>
      <c r="E12" s="33">
        <f>$C$32*'E Balans VL '!I8/100/3.6*1000000</f>
        <v>44.386706755505692</v>
      </c>
      <c r="F12" s="33">
        <f>$C$32*('E Balans VL '!L8+'E Balans VL '!N8)/100/3.6*1000000</f>
        <v>618.10023596624615</v>
      </c>
      <c r="G12" s="34"/>
      <c r="H12" s="33"/>
      <c r="I12" s="33"/>
      <c r="J12" s="33">
        <f>$C$32*('E Balans VL '!D8+'E Balans VL '!E8)/100/3.6*1000000</f>
        <v>8.6554745715245723E-3</v>
      </c>
      <c r="K12" s="33"/>
      <c r="L12" s="33"/>
      <c r="M12" s="33"/>
      <c r="N12" s="33">
        <f>$C$32*'E Balans VL '!Y8/100/3.6*1000000</f>
        <v>346.11048277096137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95921.715616407717</v>
      </c>
      <c r="C16" s="21">
        <f t="shared" ca="1" si="1"/>
        <v>0</v>
      </c>
      <c r="D16" s="21">
        <f t="shared" ca="1" si="1"/>
        <v>116719.43632697119</v>
      </c>
      <c r="E16" s="21">
        <f t="shared" si="1"/>
        <v>1348.4472038196391</v>
      </c>
      <c r="F16" s="21">
        <f t="shared" ca="1" si="1"/>
        <v>16755.244933689988</v>
      </c>
      <c r="G16" s="21">
        <f t="shared" si="1"/>
        <v>0</v>
      </c>
      <c r="H16" s="21">
        <f t="shared" si="1"/>
        <v>0</v>
      </c>
      <c r="I16" s="21">
        <f t="shared" si="1"/>
        <v>0</v>
      </c>
      <c r="J16" s="21">
        <f t="shared" si="1"/>
        <v>0.29406325041565157</v>
      </c>
      <c r="K16" s="21">
        <f t="shared" si="1"/>
        <v>0</v>
      </c>
      <c r="L16" s="21">
        <f t="shared" ca="1" si="1"/>
        <v>0</v>
      </c>
      <c r="M16" s="21">
        <f t="shared" si="1"/>
        <v>0</v>
      </c>
      <c r="N16" s="21">
        <f t="shared" ca="1" si="1"/>
        <v>11656.027695338813</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0.21709074071604217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20823.7162939195</v>
      </c>
      <c r="C20" s="23">
        <f t="shared" ref="C20:P20" ca="1" si="2">C16*C18</f>
        <v>0</v>
      </c>
      <c r="D20" s="23">
        <f t="shared" ca="1" si="2"/>
        <v>23577.326138048182</v>
      </c>
      <c r="E20" s="23">
        <f t="shared" si="2"/>
        <v>306.0975152670581</v>
      </c>
      <c r="F20" s="23">
        <f t="shared" ca="1" si="2"/>
        <v>4473.6503972952269</v>
      </c>
      <c r="G20" s="23">
        <f t="shared" si="2"/>
        <v>0</v>
      </c>
      <c r="H20" s="23">
        <f t="shared" si="2"/>
        <v>0</v>
      </c>
      <c r="I20" s="23">
        <f t="shared" si="2"/>
        <v>0</v>
      </c>
      <c r="J20" s="23">
        <f t="shared" si="2"/>
        <v>0.10409839064714065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28342.604016571499</v>
      </c>
      <c r="C26" s="39">
        <f>IF(ISERROR(B26*3.6/1000000/'E Balans VL '!Z12*100),0,B26*3.6/1000000/'E Balans VL '!Z12*100)</f>
        <v>0.59911775059889494</v>
      </c>
      <c r="D26" s="237" t="s">
        <v>754</v>
      </c>
      <c r="F26" s="6"/>
    </row>
    <row r="27" spans="1:18">
      <c r="A27" s="231" t="s">
        <v>53</v>
      </c>
      <c r="B27" s="33">
        <f>IF(ISERROR(TER_horeca_ele_kWh/1000),0,TER_horeca_ele_kWh/1000)</f>
        <v>17396.723832023399</v>
      </c>
      <c r="C27" s="39">
        <f>IF(ISERROR(B27*3.6/1000000/'E Balans VL '!Z9*100),0,B27*3.6/1000000/'E Balans VL '!Z9*100)</f>
        <v>1.3713772555884076</v>
      </c>
      <c r="D27" s="237" t="s">
        <v>754</v>
      </c>
      <c r="F27" s="6"/>
    </row>
    <row r="28" spans="1:18">
      <c r="A28" s="171" t="s">
        <v>52</v>
      </c>
      <c r="B28" s="33">
        <f>IF(ISERROR(TER_handel_ele_kWh/1000),0,TER_handel_ele_kWh/1000)</f>
        <v>28519.060001370901</v>
      </c>
      <c r="C28" s="39">
        <f>IF(ISERROR(B28*3.6/1000000/'E Balans VL '!Z13*100),0,B28*3.6/1000000/'E Balans VL '!Z13*100)</f>
        <v>0.82773835115440442</v>
      </c>
      <c r="D28" s="237" t="s">
        <v>754</v>
      </c>
      <c r="F28" s="6"/>
    </row>
    <row r="29" spans="1:18">
      <c r="A29" s="231" t="s">
        <v>51</v>
      </c>
      <c r="B29" s="33">
        <f>IF(ISERROR(TER_gezond_ele_kWh/1000),0,TER_gezond_ele_kWh/1000)</f>
        <v>4647.3777814221803</v>
      </c>
      <c r="C29" s="39">
        <f>IF(ISERROR(B29*3.6/1000000/'E Balans VL '!Z10*100),0,B29*3.6/1000000/'E Balans VL '!Z10*100)</f>
        <v>0.48944519234126721</v>
      </c>
      <c r="D29" s="237" t="s">
        <v>754</v>
      </c>
      <c r="F29" s="6"/>
    </row>
    <row r="30" spans="1:18">
      <c r="A30" s="231" t="s">
        <v>50</v>
      </c>
      <c r="B30" s="33">
        <f>IF(ISERROR(TER_ander_ele_kWh/1000),0,TER_ander_ele_kWh/1000)</f>
        <v>13148.7479278138</v>
      </c>
      <c r="C30" s="39">
        <f>IF(ISERROR(B30*3.6/1000000/'E Balans VL '!Z14*100),0,B30*3.6/1000000/'E Balans VL '!Z14*100)</f>
        <v>0.96985450304938947</v>
      </c>
      <c r="D30" s="237" t="s">
        <v>754</v>
      </c>
      <c r="F30" s="6"/>
    </row>
    <row r="31" spans="1:18">
      <c r="A31" s="231" t="s">
        <v>55</v>
      </c>
      <c r="B31" s="33">
        <f>IF(ISERROR(TER_onderwijs_ele_kWh/1000),0,TER_onderwijs_ele_kWh/1000)</f>
        <v>292.812477863732</v>
      </c>
      <c r="C31" s="39">
        <f>IF(ISERROR(B31*3.6/1000000/'E Balans VL '!Z11*100),0,B31*3.6/1000000/'E Balans VL '!Z11*100)</f>
        <v>7.2719054397799784E-2</v>
      </c>
      <c r="D31" s="237" t="s">
        <v>754</v>
      </c>
    </row>
    <row r="32" spans="1:18">
      <c r="A32" s="231" t="s">
        <v>260</v>
      </c>
      <c r="B32" s="33">
        <f>IF(ISERROR(TER_rest_ele_kWh/1000),0,TER_rest_ele_kWh/1000)</f>
        <v>3574.3895793421998</v>
      </c>
      <c r="C32" s="39">
        <f>IF(ISERROR(B32*3.6/1000000/'E Balans VL '!Z8*100),0,B32*3.6/1000000/'E Balans VL '!Z8*100)</f>
        <v>2.9412481718112692E-2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8413.2239910865592</v>
      </c>
      <c r="C5" s="17">
        <f>IF(ISERROR('Eigen informatie GS &amp; warmtenet'!B59),0,'Eigen informatie GS &amp; warmtenet'!B59)</f>
        <v>0</v>
      </c>
      <c r="D5" s="30">
        <f>SUM(D6:D15)</f>
        <v>10062.328638688445</v>
      </c>
      <c r="E5" s="17">
        <f>SUM(E6:E15)</f>
        <v>1590.8064024498017</v>
      </c>
      <c r="F5" s="17">
        <f>SUM(F6:F15)</f>
        <v>4547.9945803713335</v>
      </c>
      <c r="G5" s="18"/>
      <c r="H5" s="17"/>
      <c r="I5" s="17"/>
      <c r="J5" s="17">
        <f>SUM(J6:J15)</f>
        <v>2.4984876136723404</v>
      </c>
      <c r="K5" s="17"/>
      <c r="L5" s="17"/>
      <c r="M5" s="17"/>
      <c r="N5" s="17">
        <f>SUM(N6:N15)</f>
        <v>2255.280407808566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201.49060497520702</v>
      </c>
      <c r="C8" s="33"/>
      <c r="D8" s="37">
        <f>IF( ISERROR(IND_metaal_Gas_kWH/1000),0,IND_metaal_Gas_kWH/1000)*0.902</f>
        <v>24.058047303748737</v>
      </c>
      <c r="E8" s="33">
        <f>C30*'E Balans VL '!I18/100/3.6*1000000</f>
        <v>1.8525115112700772</v>
      </c>
      <c r="F8" s="33">
        <f>C30*'E Balans VL '!L18/100/3.6*1000000+C30*'E Balans VL '!N18/100/3.6*1000000</f>
        <v>18.89311044538978</v>
      </c>
      <c r="G8" s="34"/>
      <c r="H8" s="33"/>
      <c r="I8" s="33"/>
      <c r="J8" s="40">
        <f>C30*'E Balans VL '!D18/100/3.6*1000000+C30*'E Balans VL '!E18/100/3.6*1000000</f>
        <v>0</v>
      </c>
      <c r="K8" s="33"/>
      <c r="L8" s="33"/>
      <c r="M8" s="33"/>
      <c r="N8" s="33">
        <f>C30*'E Balans VL '!Y18/100/3.6*1000000</f>
        <v>2.8745964572180704</v>
      </c>
      <c r="O8" s="33"/>
      <c r="P8" s="33"/>
      <c r="R8" s="32"/>
    </row>
    <row r="9" spans="1:18">
      <c r="A9" s="6" t="s">
        <v>33</v>
      </c>
      <c r="B9" s="37">
        <f t="shared" si="0"/>
        <v>5288.2174971738195</v>
      </c>
      <c r="C9" s="33"/>
      <c r="D9" s="37">
        <f>IF( ISERROR(IND_andere_gas_kWh/1000),0,IND_andere_gas_kWh/1000)*0.902</f>
        <v>6789.3692377431153</v>
      </c>
      <c r="E9" s="33">
        <f>C31*'E Balans VL '!I19/100/3.6*1000000</f>
        <v>1545.8489238757597</v>
      </c>
      <c r="F9" s="33">
        <f>C31*'E Balans VL '!L19/100/3.6*1000000+C31*'E Balans VL '!N19/100/3.6*1000000</f>
        <v>4249.4830402634852</v>
      </c>
      <c r="G9" s="34"/>
      <c r="H9" s="33"/>
      <c r="I9" s="33"/>
      <c r="J9" s="40">
        <f>C31*'E Balans VL '!D19/100/3.6*1000000+C31*'E Balans VL '!E19/100/3.6*1000000</f>
        <v>0</v>
      </c>
      <c r="K9" s="33"/>
      <c r="L9" s="33"/>
      <c r="M9" s="33"/>
      <c r="N9" s="33">
        <f>C31*'E Balans VL '!Y19/100/3.6*1000000</f>
        <v>1747.3090755047826</v>
      </c>
      <c r="O9" s="33"/>
      <c r="P9" s="33"/>
      <c r="R9" s="32"/>
    </row>
    <row r="10" spans="1:18">
      <c r="A10" s="6" t="s">
        <v>41</v>
      </c>
      <c r="B10" s="37">
        <f t="shared" si="0"/>
        <v>2079.4308995234101</v>
      </c>
      <c r="C10" s="33"/>
      <c r="D10" s="37">
        <f>IF( ISERROR(IND_voed_gas_kWh/1000),0,IND_voed_gas_kWh/1000)*0.902</f>
        <v>1934.4246299627539</v>
      </c>
      <c r="E10" s="33">
        <f>C32*'E Balans VL '!I20/100/3.6*1000000</f>
        <v>4.3990683098997403</v>
      </c>
      <c r="F10" s="33">
        <f>C32*'E Balans VL '!L20/100/3.6*1000000+C32*'E Balans VL '!N20/100/3.6*1000000</f>
        <v>132.21234066807469</v>
      </c>
      <c r="G10" s="34"/>
      <c r="H10" s="33"/>
      <c r="I10" s="33"/>
      <c r="J10" s="40">
        <f>C32*'E Balans VL '!D20/100/3.6*1000000+C32*'E Balans VL '!E20/100/3.6*1000000</f>
        <v>0</v>
      </c>
      <c r="K10" s="33"/>
      <c r="L10" s="33"/>
      <c r="M10" s="33"/>
      <c r="N10" s="33">
        <f>C32*'E Balans VL '!Y20/100/3.6*1000000</f>
        <v>143.50125239263738</v>
      </c>
      <c r="O10" s="33"/>
      <c r="P10" s="33"/>
      <c r="R10" s="32"/>
    </row>
    <row r="11" spans="1:18">
      <c r="A11" s="6" t="s">
        <v>40</v>
      </c>
      <c r="B11" s="37">
        <f t="shared" si="0"/>
        <v>79.916626015584697</v>
      </c>
      <c r="C11" s="33"/>
      <c r="D11" s="37">
        <f>IF( ISERROR(IND_textiel_gas_kWh/1000),0,IND_textiel_gas_kWh/1000)*0.902</f>
        <v>124.60635705058768</v>
      </c>
      <c r="E11" s="33">
        <f>C33*'E Balans VL '!I21/100/3.6*1000000</f>
        <v>0.23734548912854619</v>
      </c>
      <c r="F11" s="33">
        <f>C33*'E Balans VL '!L21/100/3.6*1000000+C33*'E Balans VL '!N21/100/3.6*1000000</f>
        <v>8.0737732679439969</v>
      </c>
      <c r="G11" s="34"/>
      <c r="H11" s="33"/>
      <c r="I11" s="33"/>
      <c r="J11" s="40">
        <f>C33*'E Balans VL '!D21/100/3.6*1000000+C33*'E Balans VL '!E21/100/3.6*1000000</f>
        <v>0</v>
      </c>
      <c r="K11" s="33"/>
      <c r="L11" s="33"/>
      <c r="M11" s="33"/>
      <c r="N11" s="33">
        <f>C33*'E Balans VL '!Y21/100/3.6*1000000</f>
        <v>4.4076569670236783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69.254985121438992</v>
      </c>
      <c r="C13" s="33"/>
      <c r="D13" s="37">
        <f>IF( ISERROR(IND_papier_gas_kWh/1000),0,IND_papier_gas_kWh/1000)*0.902</f>
        <v>153.29712697942952</v>
      </c>
      <c r="E13" s="33">
        <f>C35*'E Balans VL '!I23/100/3.6*1000000</f>
        <v>9.8256985395178562E-2</v>
      </c>
      <c r="F13" s="33">
        <f>C35*'E Balans VL '!L23/100/3.6*1000000+C35*'E Balans VL '!N23/100/3.6*1000000</f>
        <v>1.6907746023485206</v>
      </c>
      <c r="G13" s="34"/>
      <c r="H13" s="33"/>
      <c r="I13" s="33"/>
      <c r="J13" s="40">
        <f>C35*'E Balans VL '!D23/100/3.6*1000000+C35*'E Balans VL '!E23/100/3.6*1000000</f>
        <v>1.0710933654452725E-2</v>
      </c>
      <c r="K13" s="33"/>
      <c r="L13" s="33"/>
      <c r="M13" s="33"/>
      <c r="N13" s="33">
        <f>C35*'E Balans VL '!Y23/100/3.6*1000000</f>
        <v>201.30784796701252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694.91337827710004</v>
      </c>
      <c r="C15" s="33"/>
      <c r="D15" s="37">
        <f>IF( ISERROR(IND_rest_gas_kWh/1000),0,IND_rest_gas_kWh/1000)*0.902</f>
        <v>1036.5732396488088</v>
      </c>
      <c r="E15" s="33">
        <f>C37*'E Balans VL '!I15/100/3.6*1000000</f>
        <v>38.370296278348455</v>
      </c>
      <c r="F15" s="33">
        <f>C37*'E Balans VL '!L15/100/3.6*1000000+C37*'E Balans VL '!N15/100/3.6*1000000</f>
        <v>137.64154112409139</v>
      </c>
      <c r="G15" s="34"/>
      <c r="H15" s="33"/>
      <c r="I15" s="33"/>
      <c r="J15" s="40">
        <f>C37*'E Balans VL '!D15/100/3.6*1000000+C37*'E Balans VL '!E15/100/3.6*1000000</f>
        <v>2.4877766800178875</v>
      </c>
      <c r="K15" s="33"/>
      <c r="L15" s="33"/>
      <c r="M15" s="33"/>
      <c r="N15" s="33">
        <f>C37*'E Balans VL '!Y15/100/3.6*1000000</f>
        <v>155.87997851989178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8413.2239910865592</v>
      </c>
      <c r="C18" s="21">
        <f>C5+C16</f>
        <v>0</v>
      </c>
      <c r="D18" s="21">
        <f>MAX((D5+D16),0)</f>
        <v>10062.328638688445</v>
      </c>
      <c r="E18" s="21">
        <f>MAX((E5+E16),0)</f>
        <v>1590.8064024498017</v>
      </c>
      <c r="F18" s="21">
        <f>MAX((F5+F16),0)</f>
        <v>4547.9945803713335</v>
      </c>
      <c r="G18" s="21"/>
      <c r="H18" s="21"/>
      <c r="I18" s="21"/>
      <c r="J18" s="21">
        <f>MAX((J5+J16),0)</f>
        <v>2.4984876136723404</v>
      </c>
      <c r="K18" s="21"/>
      <c r="L18" s="21">
        <f>MAX((L5+L16),0)</f>
        <v>0</v>
      </c>
      <c r="M18" s="21"/>
      <c r="N18" s="21">
        <f>MAX((N5+N16),0)</f>
        <v>2255.280407808566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0.21709074071604217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1826.4330280349577</v>
      </c>
      <c r="C22" s="23">
        <f ca="1">C18*C20</f>
        <v>0</v>
      </c>
      <c r="D22" s="23">
        <f>D18*D20</f>
        <v>2032.590385015066</v>
      </c>
      <c r="E22" s="23">
        <f>E18*E20</f>
        <v>361.11305335610501</v>
      </c>
      <c r="F22" s="23">
        <f>F18*F20</f>
        <v>1214.3145529591461</v>
      </c>
      <c r="G22" s="23"/>
      <c r="H22" s="23"/>
      <c r="I22" s="23"/>
      <c r="J22" s="23">
        <f>J18*J20</f>
        <v>0.88446461524000841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201.49060497520702</v>
      </c>
      <c r="C30" s="39">
        <f>IF(ISERROR(B30*3.6/1000000/'E Balans VL '!Z18*100),0,B30*3.6/1000000/'E Balans VL '!Z18*100)</f>
        <v>1.141898923964792E-2</v>
      </c>
      <c r="D30" s="237" t="s">
        <v>754</v>
      </c>
    </row>
    <row r="31" spans="1:18">
      <c r="A31" s="6" t="s">
        <v>33</v>
      </c>
      <c r="B31" s="37">
        <f>IF( ISERROR(IND_ander_ele_kWh/1000),0,IND_ander_ele_kWh/1000)</f>
        <v>5288.2174971738195</v>
      </c>
      <c r="C31" s="39">
        <f>IF(ISERROR(B31*3.6/1000000/'E Balans VL '!Z19*100),0,B31*3.6/1000000/'E Balans VL '!Z19*100)</f>
        <v>0.23985152591739331</v>
      </c>
      <c r="D31" s="237" t="s">
        <v>754</v>
      </c>
    </row>
    <row r="32" spans="1:18">
      <c r="A32" s="171" t="s">
        <v>41</v>
      </c>
      <c r="B32" s="37">
        <f>IF( ISERROR(IND_voed_ele_kWh/1000),0,IND_voed_ele_kWh/1000)</f>
        <v>2079.4308995234101</v>
      </c>
      <c r="C32" s="39">
        <f>IF(ISERROR(B32*3.6/1000000/'E Balans VL '!Z20*100),0,B32*3.6/1000000/'E Balans VL '!Z20*100)</f>
        <v>6.4326237541487113E-2</v>
      </c>
      <c r="D32" s="237" t="s">
        <v>754</v>
      </c>
    </row>
    <row r="33" spans="1:5">
      <c r="A33" s="171" t="s">
        <v>40</v>
      </c>
      <c r="B33" s="37">
        <f>IF( ISERROR(IND_textiel_ele_kWh/1000),0,IND_textiel_ele_kWh/1000)</f>
        <v>79.916626015584697</v>
      </c>
      <c r="C33" s="39">
        <f>IF(ISERROR(B33*3.6/1000000/'E Balans VL '!Z21*100),0,B33*3.6/1000000/'E Balans VL '!Z21*100)</f>
        <v>1.042023971390078E-2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69.254985121438992</v>
      </c>
      <c r="C35" s="39">
        <f>IF(ISERROR(B35*3.6/1000000/'E Balans VL '!Z22*100),0,B35*3.6/1000000/'E Balans VL '!Z22*100)</f>
        <v>1.2456811092696042E-2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694.91337827710004</v>
      </c>
      <c r="C37" s="39">
        <f>IF(ISERROR(B37*3.6/1000000/'E Balans VL '!Z15*100),0,B37*3.6/1000000/'E Balans VL '!Z15*100)</f>
        <v>5.5080419576402986E-3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2005.4170676372737</v>
      </c>
      <c r="C5" s="17">
        <f>'Eigen informatie GS &amp; warmtenet'!B60</f>
        <v>0</v>
      </c>
      <c r="D5" s="30">
        <f>IF(ISERROR(SUM(LB_lb_gas_kWh,LB_rest_gas_kWh)/1000),0,SUM(LB_lb_gas_kWh,LB_rest_gas_kWh)/1000)*0.902</f>
        <v>1012.5641625852711</v>
      </c>
      <c r="E5" s="17">
        <f>B17*'E Balans VL '!I25/3.6*1000000/100</f>
        <v>58.94533286856965</v>
      </c>
      <c r="F5" s="17">
        <f>B17*('E Balans VL '!L25/3.6*1000000+'E Balans VL '!N25/3.6*1000000)/100</f>
        <v>8354.4591367264802</v>
      </c>
      <c r="G5" s="18"/>
      <c r="H5" s="17"/>
      <c r="I5" s="17"/>
      <c r="J5" s="17">
        <f>('E Balans VL '!D25+'E Balans VL '!E25)/3.6*1000000*landbouw!B17/100</f>
        <v>290.54186627613234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2005.4170676372737</v>
      </c>
      <c r="C8" s="21">
        <f>C5+C6</f>
        <v>0</v>
      </c>
      <c r="D8" s="21">
        <f>MAX((D5+D6),0)</f>
        <v>1012.5641625852711</v>
      </c>
      <c r="E8" s="21">
        <f>MAX((E5+E6),0)</f>
        <v>58.94533286856965</v>
      </c>
      <c r="F8" s="21">
        <f>MAX((F5+F6),0)</f>
        <v>8354.4591367264802</v>
      </c>
      <c r="G8" s="21"/>
      <c r="H8" s="21"/>
      <c r="I8" s="21"/>
      <c r="J8" s="21">
        <f>MAX((J5+J6),0)</f>
        <v>290.54186627613234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0.21709074071604217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435.35747665796902</v>
      </c>
      <c r="C12" s="23">
        <f ca="1">C8*C10</f>
        <v>0</v>
      </c>
      <c r="D12" s="23">
        <f>D8*D10</f>
        <v>204.53796084222478</v>
      </c>
      <c r="E12" s="23">
        <f>E8*E10</f>
        <v>13.380590561165311</v>
      </c>
      <c r="F12" s="23">
        <f>F8*F10</f>
        <v>2230.6405895059702</v>
      </c>
      <c r="G12" s="23"/>
      <c r="H12" s="23"/>
      <c r="I12" s="23"/>
      <c r="J12" s="23">
        <f>J8*J10</f>
        <v>102.85182066175084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0.28457497370189838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367.99346225020366</v>
      </c>
      <c r="C26" s="247">
        <f>B26*'GWP N2O_CH4'!B5</f>
        <v>7727.8627072542768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67.057497358212075</v>
      </c>
      <c r="C27" s="247">
        <f>B27*'GWP N2O_CH4'!B5</f>
        <v>1408.2074445224537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5.0533861693357194</v>
      </c>
      <c r="C28" s="247">
        <f>B28*'GWP N2O_CH4'!B4</f>
        <v>1566.549712494073</v>
      </c>
      <c r="D28" s="50"/>
    </row>
    <row r="29" spans="1:4">
      <c r="A29" s="41" t="s">
        <v>277</v>
      </c>
      <c r="B29" s="247">
        <f>B34*'ha_N2O bodem landbouw'!B4</f>
        <v>22.199617505704936</v>
      </c>
      <c r="C29" s="247">
        <f>B29*'GWP N2O_CH4'!B4</f>
        <v>6881.8814267685302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5.0658762115165339E-3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1.9856616955161061E-4</v>
      </c>
      <c r="C5" s="463" t="s">
        <v>211</v>
      </c>
      <c r="D5" s="448">
        <f>SUM(D6:D11)</f>
        <v>6.9319665625975279E-4</v>
      </c>
      <c r="E5" s="448">
        <f>SUM(E6:E11)</f>
        <v>9.2448902646595716E-4</v>
      </c>
      <c r="F5" s="461" t="s">
        <v>211</v>
      </c>
      <c r="G5" s="448">
        <f>SUM(G6:G11)</f>
        <v>0.35941222540285717</v>
      </c>
      <c r="H5" s="448">
        <f>SUM(H6:H11)</f>
        <v>7.8165110290335876E-2</v>
      </c>
      <c r="I5" s="463" t="s">
        <v>211</v>
      </c>
      <c r="J5" s="463" t="s">
        <v>211</v>
      </c>
      <c r="K5" s="463" t="s">
        <v>211</v>
      </c>
      <c r="L5" s="463" t="s">
        <v>211</v>
      </c>
      <c r="M5" s="448">
        <f>SUM(M6:M11)</f>
        <v>2.3304704312408959E-2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1.5673695498948101E-4</v>
      </c>
      <c r="C6" s="449"/>
      <c r="D6" s="892">
        <f>vkm_2011_GW_PW*SUMIFS(TableVerdeelsleutelVkm[CNG],TableVerdeelsleutelVkm[Voertuigtype],"Lichte voertuigen")*SUMIFS(TableECFTransport[EnergieConsumptieFactor (PJ per km)],TableECFTransport[Index],CONCATENATE($A6,"_CNG_CNG"))</f>
        <v>4.7012090613902301E-4</v>
      </c>
      <c r="E6" s="892">
        <f>vkm_2011_GW_PW*SUMIFS(TableVerdeelsleutelVkm[LPG],TableVerdeelsleutelVkm[Voertuigtype],"Lichte voertuigen")*SUMIFS(TableECFTransport[EnergieConsumptieFactor (PJ per km)],TableECFTransport[Index],CONCATENATE($A6,"_LPG_LPG"))</f>
        <v>6.4225268732606429E-4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0.16605710362173601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5.3470843610274196E-2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1.1279184842703318E-2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0.11101160688526511</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3.383408201131495E-5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6.4871437744722666E-3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4.1829214562129615E-5</v>
      </c>
      <c r="C8" s="449"/>
      <c r="D8" s="451">
        <f>vkm_2011_NGW_PW*SUMIFS(TableVerdeelsleutelVkm[CNG],TableVerdeelsleutelVkm[Voertuigtype],"Lichte voertuigen")*SUMIFS(TableECFTransport[EnergieConsumptieFactor (PJ per km)],TableECFTransport[Index],CONCATENATE($A8,"_CNG_CNG"))</f>
        <v>2.2307575012072973E-4</v>
      </c>
      <c r="E8" s="451">
        <f>vkm_2011_NGW_PW*SUMIFS(TableVerdeelsleutelVkm[LPG],TableVerdeelsleutelVkm[Voertuigtype],"Lichte voertuigen")*SUMIFS(TableECFTransport[EnergieConsumptieFactor (PJ per km)],TableECFTransport[Index],CONCATENATE($A8,"_LPG_LPG"))</f>
        <v>2.8223633913989282E-4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6.8003468376861678E-2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2.4656318098486892E-2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4.7003993083280489E-3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1.4340046518994388E-2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4.1144995634677049E-6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8.3797638690532466E-4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55.157269319891832</v>
      </c>
      <c r="C14" s="21"/>
      <c r="D14" s="21">
        <f t="shared" ref="D14:M14" si="0">((D5)*10^9/3600)+D12</f>
        <v>192.55462673882022</v>
      </c>
      <c r="E14" s="21">
        <f t="shared" si="0"/>
        <v>256.80250735165475</v>
      </c>
      <c r="F14" s="21"/>
      <c r="G14" s="21">
        <f t="shared" si="0"/>
        <v>99836.729278571438</v>
      </c>
      <c r="H14" s="21">
        <f t="shared" si="0"/>
        <v>21712.53063620441</v>
      </c>
      <c r="I14" s="21"/>
      <c r="J14" s="21"/>
      <c r="K14" s="21"/>
      <c r="L14" s="21"/>
      <c r="M14" s="21">
        <f t="shared" si="0"/>
        <v>6473.5289756691545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0.21709074071604217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11.974132452529545</v>
      </c>
      <c r="C18" s="23"/>
      <c r="D18" s="23">
        <f t="shared" ref="D18:M18" si="1">D14*D16</f>
        <v>38.896034601241688</v>
      </c>
      <c r="E18" s="23">
        <f t="shared" si="1"/>
        <v>58.294169168825633</v>
      </c>
      <c r="F18" s="23"/>
      <c r="G18" s="23">
        <f t="shared" si="1"/>
        <v>26656.406717378577</v>
      </c>
      <c r="H18" s="23">
        <f t="shared" si="1"/>
        <v>5406.4201284148985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2.2733754299999998E-3</v>
      </c>
      <c r="C50" s="321">
        <f t="shared" ref="C50:P50" si="2">SUM(C51:C52)</f>
        <v>0</v>
      </c>
      <c r="D50" s="321">
        <f t="shared" si="2"/>
        <v>0</v>
      </c>
      <c r="E50" s="321">
        <f t="shared" si="2"/>
        <v>0</v>
      </c>
      <c r="F50" s="321">
        <f t="shared" si="2"/>
        <v>0</v>
      </c>
      <c r="G50" s="321">
        <f t="shared" si="2"/>
        <v>5.5191213174978328E-3</v>
      </c>
      <c r="H50" s="321">
        <f t="shared" si="2"/>
        <v>0</v>
      </c>
      <c r="I50" s="321">
        <f t="shared" si="2"/>
        <v>0</v>
      </c>
      <c r="J50" s="321">
        <f t="shared" si="2"/>
        <v>0</v>
      </c>
      <c r="K50" s="321">
        <f t="shared" si="2"/>
        <v>0</v>
      </c>
      <c r="L50" s="321">
        <f t="shared" si="2"/>
        <v>0</v>
      </c>
      <c r="M50" s="321">
        <f t="shared" si="2"/>
        <v>3.1346172625124508E-4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5.5191213174978328E-3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3.1346172625124508E-4</v>
      </c>
      <c r="N51" s="323"/>
      <c r="O51" s="323"/>
      <c r="P51" s="326"/>
    </row>
    <row r="52" spans="1:18">
      <c r="A52" s="4" t="s">
        <v>330</v>
      </c>
      <c r="B52" s="893">
        <f>vkm_2011_tram*SUMIFS(TableECFTransport[EnergieConsumptieFactor (PJ per km)],TableECFTransport[Index],"Tram_gemiddeld_Electric_Electric")</f>
        <v>2.2733754299999998E-3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631.49317499999995</v>
      </c>
      <c r="C54" s="21">
        <f t="shared" ref="C54:P54" si="3">(C50)*10^9/3600</f>
        <v>0</v>
      </c>
      <c r="D54" s="21">
        <f t="shared" si="3"/>
        <v>0</v>
      </c>
      <c r="E54" s="21">
        <f t="shared" si="3"/>
        <v>0</v>
      </c>
      <c r="F54" s="21">
        <f t="shared" si="3"/>
        <v>0</v>
      </c>
      <c r="G54" s="21">
        <f t="shared" si="3"/>
        <v>1533.0892548605091</v>
      </c>
      <c r="H54" s="21">
        <f t="shared" si="3"/>
        <v>0</v>
      </c>
      <c r="I54" s="21">
        <f t="shared" si="3"/>
        <v>0</v>
      </c>
      <c r="J54" s="21">
        <f t="shared" si="3"/>
        <v>0</v>
      </c>
      <c r="K54" s="21">
        <f t="shared" si="3"/>
        <v>0</v>
      </c>
      <c r="L54" s="21">
        <f t="shared" si="3"/>
        <v>0</v>
      </c>
      <c r="M54" s="21">
        <f t="shared" si="3"/>
        <v>87.072701736456963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0.21709074071604217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137.09132111787522</v>
      </c>
      <c r="C58" s="23">
        <f t="shared" ref="C58:P58" ca="1" si="4">C54*C56</f>
        <v>0</v>
      </c>
      <c r="D58" s="23">
        <f t="shared" si="4"/>
        <v>0</v>
      </c>
      <c r="E58" s="23">
        <f t="shared" si="4"/>
        <v>0</v>
      </c>
      <c r="F58" s="23">
        <f t="shared" si="4"/>
        <v>0</v>
      </c>
      <c r="G58" s="23">
        <f t="shared" si="4"/>
        <v>409.33483104775593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99021.656616407723</v>
      </c>
      <c r="D10" s="1013">
        <f ca="1">tertiair!C16</f>
        <v>0</v>
      </c>
      <c r="E10" s="1013">
        <f ca="1">tertiair!D16</f>
        <v>116719.43632697119</v>
      </c>
      <c r="F10" s="1013">
        <f>tertiair!E16</f>
        <v>1348.4472038196391</v>
      </c>
      <c r="G10" s="1013">
        <f ca="1">tertiair!F16</f>
        <v>16755.244933689988</v>
      </c>
      <c r="H10" s="1013">
        <f>tertiair!G16</f>
        <v>0</v>
      </c>
      <c r="I10" s="1013">
        <f>tertiair!H16</f>
        <v>0</v>
      </c>
      <c r="J10" s="1013">
        <f>tertiair!I16</f>
        <v>0</v>
      </c>
      <c r="K10" s="1013">
        <f>tertiair!J16</f>
        <v>0.29406325041565157</v>
      </c>
      <c r="L10" s="1013">
        <f>tertiair!K16</f>
        <v>0</v>
      </c>
      <c r="M10" s="1013">
        <f ca="1">tertiair!L16</f>
        <v>0</v>
      </c>
      <c r="N10" s="1013">
        <f>tertiair!M16</f>
        <v>0</v>
      </c>
      <c r="O10" s="1013">
        <f ca="1">tertiair!N16</f>
        <v>11656.027695338813</v>
      </c>
      <c r="P10" s="1013">
        <f>tertiair!O16</f>
        <v>1.5633333333333335</v>
      </c>
      <c r="Q10" s="1014">
        <f>tertiair!P16</f>
        <v>76.266666666666666</v>
      </c>
      <c r="R10" s="700">
        <f ca="1">SUM(C10:Q10)</f>
        <v>245578.93683947777</v>
      </c>
      <c r="S10" s="67"/>
    </row>
    <row r="11" spans="1:19" s="473" customFormat="1">
      <c r="A11" s="809" t="s">
        <v>225</v>
      </c>
      <c r="B11" s="814"/>
      <c r="C11" s="1013">
        <f>huishoudens!B8</f>
        <v>65473.590512311937</v>
      </c>
      <c r="D11" s="1013">
        <f>huishoudens!C8</f>
        <v>0</v>
      </c>
      <c r="E11" s="1013">
        <f>huishoudens!D8</f>
        <v>206182.31304884475</v>
      </c>
      <c r="F11" s="1013">
        <f>huishoudens!E8</f>
        <v>0</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0</v>
      </c>
      <c r="P11" s="1013">
        <f>huishoudens!O8</f>
        <v>196.98000000000002</v>
      </c>
      <c r="Q11" s="1014">
        <f>huishoudens!P8</f>
        <v>572</v>
      </c>
      <c r="R11" s="700">
        <f>SUM(C11:Q11)</f>
        <v>272424.88356115669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8413.2239910865592</v>
      </c>
      <c r="D13" s="1013">
        <f>industrie!C18</f>
        <v>0</v>
      </c>
      <c r="E13" s="1013">
        <f>industrie!D18</f>
        <v>10062.328638688445</v>
      </c>
      <c r="F13" s="1013">
        <f>industrie!E18</f>
        <v>1590.8064024498017</v>
      </c>
      <c r="G13" s="1013">
        <f>industrie!F18</f>
        <v>4547.9945803713335</v>
      </c>
      <c r="H13" s="1013">
        <f>industrie!G18</f>
        <v>0</v>
      </c>
      <c r="I13" s="1013">
        <f>industrie!H18</f>
        <v>0</v>
      </c>
      <c r="J13" s="1013">
        <f>industrie!I18</f>
        <v>0</v>
      </c>
      <c r="K13" s="1013">
        <f>industrie!J18</f>
        <v>2.4984876136723404</v>
      </c>
      <c r="L13" s="1013">
        <f>industrie!K18</f>
        <v>0</v>
      </c>
      <c r="M13" s="1013">
        <f>industrie!L18</f>
        <v>0</v>
      </c>
      <c r="N13" s="1013">
        <f>industrie!M18</f>
        <v>0</v>
      </c>
      <c r="O13" s="1013">
        <f>industrie!N18</f>
        <v>2255.280407808566</v>
      </c>
      <c r="P13" s="1013">
        <f>industrie!O18</f>
        <v>0</v>
      </c>
      <c r="Q13" s="1014">
        <f>industrie!P18</f>
        <v>0</v>
      </c>
      <c r="R13" s="700">
        <f>SUM(C13:Q13)</f>
        <v>26872.132508018378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172908.47111980623</v>
      </c>
      <c r="D16" s="732">
        <f t="shared" ref="D16:R16" ca="1" si="0">SUM(D9:D15)</f>
        <v>0</v>
      </c>
      <c r="E16" s="732">
        <f t="shared" ca="1" si="0"/>
        <v>332964.0780145044</v>
      </c>
      <c r="F16" s="732">
        <f t="shared" si="0"/>
        <v>2939.2536062694408</v>
      </c>
      <c r="G16" s="732">
        <f t="shared" ca="1" si="0"/>
        <v>21303.239514061323</v>
      </c>
      <c r="H16" s="732">
        <f t="shared" si="0"/>
        <v>0</v>
      </c>
      <c r="I16" s="732">
        <f t="shared" si="0"/>
        <v>0</v>
      </c>
      <c r="J16" s="732">
        <f t="shared" si="0"/>
        <v>0</v>
      </c>
      <c r="K16" s="732">
        <f t="shared" si="0"/>
        <v>2.7925508640879921</v>
      </c>
      <c r="L16" s="732">
        <f t="shared" si="0"/>
        <v>0</v>
      </c>
      <c r="M16" s="732">
        <f t="shared" ca="1" si="0"/>
        <v>0</v>
      </c>
      <c r="N16" s="732">
        <f t="shared" si="0"/>
        <v>0</v>
      </c>
      <c r="O16" s="732">
        <f t="shared" ca="1" si="0"/>
        <v>13911.308103147379</v>
      </c>
      <c r="P16" s="732">
        <f t="shared" si="0"/>
        <v>198.54333333333335</v>
      </c>
      <c r="Q16" s="732">
        <f t="shared" si="0"/>
        <v>648.26666666666665</v>
      </c>
      <c r="R16" s="732">
        <f t="shared" ca="1" si="0"/>
        <v>544875.95290865283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631.49317499999995</v>
      </c>
      <c r="D19" s="1013">
        <f>transport!C54</f>
        <v>0</v>
      </c>
      <c r="E19" s="1013">
        <f>transport!D54</f>
        <v>0</v>
      </c>
      <c r="F19" s="1013">
        <f>transport!E54</f>
        <v>0</v>
      </c>
      <c r="G19" s="1013">
        <f>transport!F54</f>
        <v>0</v>
      </c>
      <c r="H19" s="1013">
        <f>transport!G54</f>
        <v>1533.0892548605091</v>
      </c>
      <c r="I19" s="1013">
        <f>transport!H54</f>
        <v>0</v>
      </c>
      <c r="J19" s="1013">
        <f>transport!I54</f>
        <v>0</v>
      </c>
      <c r="K19" s="1013">
        <f>transport!J54</f>
        <v>0</v>
      </c>
      <c r="L19" s="1013">
        <f>transport!K54</f>
        <v>0</v>
      </c>
      <c r="M19" s="1013">
        <f>transport!L54</f>
        <v>0</v>
      </c>
      <c r="N19" s="1013">
        <f>transport!M54</f>
        <v>87.072701736456963</v>
      </c>
      <c r="O19" s="1013">
        <f>transport!N54</f>
        <v>0</v>
      </c>
      <c r="P19" s="1013">
        <f>transport!O54</f>
        <v>0</v>
      </c>
      <c r="Q19" s="1014">
        <f>transport!P54</f>
        <v>0</v>
      </c>
      <c r="R19" s="700">
        <f>SUM(C19:Q19)</f>
        <v>2251.6551315969659</v>
      </c>
      <c r="S19" s="67"/>
    </row>
    <row r="20" spans="1:19" s="473" customFormat="1">
      <c r="A20" s="809" t="s">
        <v>307</v>
      </c>
      <c r="B20" s="814"/>
      <c r="C20" s="1013">
        <f>transport!B14</f>
        <v>55.157269319891832</v>
      </c>
      <c r="D20" s="1013">
        <f>transport!C14</f>
        <v>0</v>
      </c>
      <c r="E20" s="1013">
        <f>transport!D14</f>
        <v>192.55462673882022</v>
      </c>
      <c r="F20" s="1013">
        <f>transport!E14</f>
        <v>256.80250735165475</v>
      </c>
      <c r="G20" s="1013">
        <f>transport!F14</f>
        <v>0</v>
      </c>
      <c r="H20" s="1013">
        <f>transport!G14</f>
        <v>99836.729278571438</v>
      </c>
      <c r="I20" s="1013">
        <f>transport!H14</f>
        <v>21712.53063620441</v>
      </c>
      <c r="J20" s="1013">
        <f>transport!I14</f>
        <v>0</v>
      </c>
      <c r="K20" s="1013">
        <f>transport!J14</f>
        <v>0</v>
      </c>
      <c r="L20" s="1013">
        <f>transport!K14</f>
        <v>0</v>
      </c>
      <c r="M20" s="1013">
        <f>transport!L14</f>
        <v>0</v>
      </c>
      <c r="N20" s="1013">
        <f>transport!M14</f>
        <v>6473.5289756691545</v>
      </c>
      <c r="O20" s="1013">
        <f>transport!N14</f>
        <v>0</v>
      </c>
      <c r="P20" s="1013">
        <f>transport!O14</f>
        <v>0</v>
      </c>
      <c r="Q20" s="1014">
        <f>transport!P14</f>
        <v>0</v>
      </c>
      <c r="R20" s="700">
        <f>SUM(C20:Q20)</f>
        <v>128527.30329385537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686.65044431989179</v>
      </c>
      <c r="D22" s="812">
        <f t="shared" ref="D22:R22" si="1">SUM(D18:D21)</f>
        <v>0</v>
      </c>
      <c r="E22" s="812">
        <f t="shared" si="1"/>
        <v>192.55462673882022</v>
      </c>
      <c r="F22" s="812">
        <f t="shared" si="1"/>
        <v>256.80250735165475</v>
      </c>
      <c r="G22" s="812">
        <f t="shared" si="1"/>
        <v>0</v>
      </c>
      <c r="H22" s="812">
        <f t="shared" si="1"/>
        <v>101369.81853343194</v>
      </c>
      <c r="I22" s="812">
        <f t="shared" si="1"/>
        <v>21712.53063620441</v>
      </c>
      <c r="J22" s="812">
        <f t="shared" si="1"/>
        <v>0</v>
      </c>
      <c r="K22" s="812">
        <f t="shared" si="1"/>
        <v>0</v>
      </c>
      <c r="L22" s="812">
        <f t="shared" si="1"/>
        <v>0</v>
      </c>
      <c r="M22" s="812">
        <f t="shared" si="1"/>
        <v>0</v>
      </c>
      <c r="N22" s="812">
        <f t="shared" si="1"/>
        <v>6560.6016774056116</v>
      </c>
      <c r="O22" s="812">
        <f t="shared" si="1"/>
        <v>0</v>
      </c>
      <c r="P22" s="812">
        <f t="shared" si="1"/>
        <v>0</v>
      </c>
      <c r="Q22" s="812">
        <f t="shared" si="1"/>
        <v>0</v>
      </c>
      <c r="R22" s="812">
        <f t="shared" si="1"/>
        <v>130778.95842545234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2005.4170676372737</v>
      </c>
      <c r="D24" s="1013">
        <f>+landbouw!C8</f>
        <v>0</v>
      </c>
      <c r="E24" s="1013">
        <f>+landbouw!D8</f>
        <v>1012.5641625852711</v>
      </c>
      <c r="F24" s="1013">
        <f>+landbouw!E8</f>
        <v>58.94533286856965</v>
      </c>
      <c r="G24" s="1013">
        <f>+landbouw!F8</f>
        <v>8354.4591367264802</v>
      </c>
      <c r="H24" s="1013">
        <f>+landbouw!G8</f>
        <v>0</v>
      </c>
      <c r="I24" s="1013">
        <f>+landbouw!H8</f>
        <v>0</v>
      </c>
      <c r="J24" s="1013">
        <f>+landbouw!I8</f>
        <v>0</v>
      </c>
      <c r="K24" s="1013">
        <f>+landbouw!J8</f>
        <v>290.54186627613234</v>
      </c>
      <c r="L24" s="1013">
        <f>+landbouw!K8</f>
        <v>0</v>
      </c>
      <c r="M24" s="1013">
        <f>+landbouw!L8</f>
        <v>0</v>
      </c>
      <c r="N24" s="1013">
        <f>+landbouw!M8</f>
        <v>0</v>
      </c>
      <c r="O24" s="1013">
        <f>+landbouw!N8</f>
        <v>0</v>
      </c>
      <c r="P24" s="1013">
        <f>+landbouw!O8</f>
        <v>0</v>
      </c>
      <c r="Q24" s="1014">
        <f>+landbouw!P8</f>
        <v>0</v>
      </c>
      <c r="R24" s="700">
        <f>SUM(C24:Q24)</f>
        <v>11721.927566093727</v>
      </c>
      <c r="S24" s="67"/>
    </row>
    <row r="25" spans="1:19" s="473" customFormat="1" ht="15" thickBot="1">
      <c r="A25" s="831" t="s">
        <v>836</v>
      </c>
      <c r="B25" s="1016"/>
      <c r="C25" s="1017">
        <f>IF(Onbekend_ele_kWh="---",0,Onbekend_ele_kWh)/1000+IF(REST_rest_ele_kWh="---",0,REST_rest_ele_kWh)/1000</f>
        <v>18396.7292314765</v>
      </c>
      <c r="D25" s="1017"/>
      <c r="E25" s="1017">
        <f>IF(onbekend_gas_kWh="---",0,onbekend_gas_kWh)/1000+IF(REST_rest_gas_kWh="---",0,REST_rest_gas_kWh)/1000</f>
        <v>54859.237273934399</v>
      </c>
      <c r="F25" s="1017"/>
      <c r="G25" s="1017"/>
      <c r="H25" s="1017"/>
      <c r="I25" s="1017"/>
      <c r="J25" s="1017"/>
      <c r="K25" s="1017"/>
      <c r="L25" s="1017"/>
      <c r="M25" s="1017"/>
      <c r="N25" s="1017"/>
      <c r="O25" s="1017"/>
      <c r="P25" s="1017"/>
      <c r="Q25" s="1018"/>
      <c r="R25" s="700">
        <f>SUM(C25:Q25)</f>
        <v>73255.966505410906</v>
      </c>
      <c r="S25" s="67"/>
    </row>
    <row r="26" spans="1:19" s="473" customFormat="1" ht="15.75" thickBot="1">
      <c r="A26" s="705" t="s">
        <v>837</v>
      </c>
      <c r="B26" s="817"/>
      <c r="C26" s="812">
        <f>SUM(C24:C25)</f>
        <v>20402.146299113774</v>
      </c>
      <c r="D26" s="812">
        <f t="shared" ref="D26:R26" si="2">SUM(D24:D25)</f>
        <v>0</v>
      </c>
      <c r="E26" s="812">
        <f t="shared" si="2"/>
        <v>55871.801436519672</v>
      </c>
      <c r="F26" s="812">
        <f t="shared" si="2"/>
        <v>58.94533286856965</v>
      </c>
      <c r="G26" s="812">
        <f t="shared" si="2"/>
        <v>8354.4591367264802</v>
      </c>
      <c r="H26" s="812">
        <f t="shared" si="2"/>
        <v>0</v>
      </c>
      <c r="I26" s="812">
        <f t="shared" si="2"/>
        <v>0</v>
      </c>
      <c r="J26" s="812">
        <f t="shared" si="2"/>
        <v>0</v>
      </c>
      <c r="K26" s="812">
        <f t="shared" si="2"/>
        <v>290.54186627613234</v>
      </c>
      <c r="L26" s="812">
        <f t="shared" si="2"/>
        <v>0</v>
      </c>
      <c r="M26" s="812">
        <f t="shared" si="2"/>
        <v>0</v>
      </c>
      <c r="N26" s="812">
        <f t="shared" si="2"/>
        <v>0</v>
      </c>
      <c r="O26" s="812">
        <f t="shared" si="2"/>
        <v>0</v>
      </c>
      <c r="P26" s="812">
        <f t="shared" si="2"/>
        <v>0</v>
      </c>
      <c r="Q26" s="812">
        <f t="shared" si="2"/>
        <v>0</v>
      </c>
      <c r="R26" s="812">
        <f t="shared" si="2"/>
        <v>84977.894071504634</v>
      </c>
      <c r="S26" s="67"/>
    </row>
    <row r="27" spans="1:19" s="473" customFormat="1" ht="17.25" thickTop="1" thickBot="1">
      <c r="A27" s="706" t="s">
        <v>116</v>
      </c>
      <c r="B27" s="805"/>
      <c r="C27" s="707">
        <f ca="1">C22+C16+C26</f>
        <v>193997.26786323989</v>
      </c>
      <c r="D27" s="707">
        <f t="shared" ref="D27:R27" ca="1" si="3">D22+D16+D26</f>
        <v>0</v>
      </c>
      <c r="E27" s="707">
        <f t="shared" ca="1" si="3"/>
        <v>389028.43407776288</v>
      </c>
      <c r="F27" s="707">
        <f t="shared" si="3"/>
        <v>3255.0014464896649</v>
      </c>
      <c r="G27" s="707">
        <f t="shared" ca="1" si="3"/>
        <v>29657.698650787803</v>
      </c>
      <c r="H27" s="707">
        <f t="shared" si="3"/>
        <v>101369.81853343194</v>
      </c>
      <c r="I27" s="707">
        <f t="shared" si="3"/>
        <v>21712.53063620441</v>
      </c>
      <c r="J27" s="707">
        <f t="shared" si="3"/>
        <v>0</v>
      </c>
      <c r="K27" s="707">
        <f t="shared" si="3"/>
        <v>293.33441714022035</v>
      </c>
      <c r="L27" s="707">
        <f t="shared" si="3"/>
        <v>0</v>
      </c>
      <c r="M27" s="707">
        <f t="shared" ca="1" si="3"/>
        <v>0</v>
      </c>
      <c r="N27" s="707">
        <f t="shared" si="3"/>
        <v>6560.6016774056116</v>
      </c>
      <c r="O27" s="707">
        <f t="shared" ca="1" si="3"/>
        <v>13911.308103147379</v>
      </c>
      <c r="P27" s="707">
        <f t="shared" si="3"/>
        <v>198.54333333333335</v>
      </c>
      <c r="Q27" s="707">
        <f t="shared" si="3"/>
        <v>648.26666666666665</v>
      </c>
      <c r="R27" s="707">
        <f t="shared" ca="1" si="3"/>
        <v>760632.80540560978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21496.684781785531</v>
      </c>
      <c r="D40" s="1013">
        <f ca="1">tertiair!C20</f>
        <v>0</v>
      </c>
      <c r="E40" s="1013">
        <f ca="1">tertiair!D20</f>
        <v>23577.326138048182</v>
      </c>
      <c r="F40" s="1013">
        <f>tertiair!E20</f>
        <v>306.0975152670581</v>
      </c>
      <c r="G40" s="1013">
        <f ca="1">tertiair!F20</f>
        <v>4473.6503972952269</v>
      </c>
      <c r="H40" s="1013">
        <f>tertiair!G20</f>
        <v>0</v>
      </c>
      <c r="I40" s="1013">
        <f>tertiair!H20</f>
        <v>0</v>
      </c>
      <c r="J40" s="1013">
        <f>tertiair!I20</f>
        <v>0</v>
      </c>
      <c r="K40" s="1013">
        <f>tertiair!J20</f>
        <v>0.10409839064714065</v>
      </c>
      <c r="L40" s="1013">
        <f>tertiair!K20</f>
        <v>0</v>
      </c>
      <c r="M40" s="1013">
        <f ca="1">tertiair!L20</f>
        <v>0</v>
      </c>
      <c r="N40" s="1013">
        <f>tertiair!M20</f>
        <v>0</v>
      </c>
      <c r="O40" s="1013">
        <f ca="1">tertiair!N20</f>
        <v>0</v>
      </c>
      <c r="P40" s="1013">
        <f>tertiair!O20</f>
        <v>0</v>
      </c>
      <c r="Q40" s="774">
        <f>tertiair!P20</f>
        <v>0</v>
      </c>
      <c r="R40" s="850">
        <f t="shared" ca="1" si="4"/>
        <v>49853.86293078665</v>
      </c>
    </row>
    <row r="41" spans="1:18">
      <c r="A41" s="822" t="s">
        <v>225</v>
      </c>
      <c r="B41" s="829"/>
      <c r="C41" s="1013">
        <f ca="1">huishoudens!B12</f>
        <v>14213.71026165663</v>
      </c>
      <c r="D41" s="1013">
        <f ca="1">huishoudens!C12</f>
        <v>0</v>
      </c>
      <c r="E41" s="1013">
        <f>huishoudens!D12</f>
        <v>41648.827235866644</v>
      </c>
      <c r="F41" s="1013">
        <f>huishoudens!E12</f>
        <v>0</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55862.53749752327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1826.4330280349577</v>
      </c>
      <c r="D43" s="1013">
        <f ca="1">industrie!C22</f>
        <v>0</v>
      </c>
      <c r="E43" s="1013">
        <f>industrie!D22</f>
        <v>2032.590385015066</v>
      </c>
      <c r="F43" s="1013">
        <f>industrie!E22</f>
        <v>361.11305335610501</v>
      </c>
      <c r="G43" s="1013">
        <f>industrie!F22</f>
        <v>1214.3145529591461</v>
      </c>
      <c r="H43" s="1013">
        <f>industrie!G22</f>
        <v>0</v>
      </c>
      <c r="I43" s="1013">
        <f>industrie!H22</f>
        <v>0</v>
      </c>
      <c r="J43" s="1013">
        <f>industrie!I22</f>
        <v>0</v>
      </c>
      <c r="K43" s="1013">
        <f>industrie!J22</f>
        <v>0.88446461524000841</v>
      </c>
      <c r="L43" s="1013">
        <f>industrie!K22</f>
        <v>0</v>
      </c>
      <c r="M43" s="1013">
        <f>industrie!L22</f>
        <v>0</v>
      </c>
      <c r="N43" s="1013">
        <f>industrie!M22</f>
        <v>0</v>
      </c>
      <c r="O43" s="1013">
        <f>industrie!N22</f>
        <v>0</v>
      </c>
      <c r="P43" s="1013">
        <f>industrie!O22</f>
        <v>0</v>
      </c>
      <c r="Q43" s="774">
        <f>industrie!P22</f>
        <v>0</v>
      </c>
      <c r="R43" s="849">
        <f t="shared" ca="1" si="4"/>
        <v>5435.3354839805152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37536.828071477117</v>
      </c>
      <c r="D46" s="732">
        <f t="shared" ref="D46:Q46" ca="1" si="5">SUM(D39:D45)</f>
        <v>0</v>
      </c>
      <c r="E46" s="732">
        <f t="shared" ca="1" si="5"/>
        <v>67258.743758929893</v>
      </c>
      <c r="F46" s="732">
        <f t="shared" si="5"/>
        <v>667.21056862316311</v>
      </c>
      <c r="G46" s="732">
        <f t="shared" ca="1" si="5"/>
        <v>5687.9649502543725</v>
      </c>
      <c r="H46" s="732">
        <f t="shared" si="5"/>
        <v>0</v>
      </c>
      <c r="I46" s="732">
        <f t="shared" si="5"/>
        <v>0</v>
      </c>
      <c r="J46" s="732">
        <f t="shared" si="5"/>
        <v>0</v>
      </c>
      <c r="K46" s="732">
        <f t="shared" si="5"/>
        <v>0.98856300588714907</v>
      </c>
      <c r="L46" s="732">
        <f t="shared" si="5"/>
        <v>0</v>
      </c>
      <c r="M46" s="732">
        <f t="shared" ca="1" si="5"/>
        <v>0</v>
      </c>
      <c r="N46" s="732">
        <f t="shared" si="5"/>
        <v>0</v>
      </c>
      <c r="O46" s="732">
        <f t="shared" ca="1" si="5"/>
        <v>0</v>
      </c>
      <c r="P46" s="732">
        <f t="shared" si="5"/>
        <v>0</v>
      </c>
      <c r="Q46" s="732">
        <f t="shared" si="5"/>
        <v>0</v>
      </c>
      <c r="R46" s="732">
        <f ca="1">SUM(R39:R45)</f>
        <v>111151.73591229043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137.09132111787522</v>
      </c>
      <c r="D49" s="1013">
        <f ca="1">transport!C58</f>
        <v>0</v>
      </c>
      <c r="E49" s="1013">
        <f>transport!D58</f>
        <v>0</v>
      </c>
      <c r="F49" s="1013">
        <f>transport!E58</f>
        <v>0</v>
      </c>
      <c r="G49" s="1013">
        <f>transport!F58</f>
        <v>0</v>
      </c>
      <c r="H49" s="1013">
        <f>transport!G58</f>
        <v>409.33483104775593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546.42615216563115</v>
      </c>
    </row>
    <row r="50" spans="1:18">
      <c r="A50" s="825" t="s">
        <v>307</v>
      </c>
      <c r="B50" s="835"/>
      <c r="C50" s="703">
        <f ca="1">transport!B18</f>
        <v>11.974132452529545</v>
      </c>
      <c r="D50" s="703">
        <f>transport!C18</f>
        <v>0</v>
      </c>
      <c r="E50" s="703">
        <f>transport!D18</f>
        <v>38.896034601241688</v>
      </c>
      <c r="F50" s="703">
        <f>transport!E18</f>
        <v>58.294169168825633</v>
      </c>
      <c r="G50" s="703">
        <f>transport!F18</f>
        <v>0</v>
      </c>
      <c r="H50" s="703">
        <f>transport!G18</f>
        <v>26656.406717378577</v>
      </c>
      <c r="I50" s="703">
        <f>transport!H18</f>
        <v>5406.4201284148985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32171.991182016074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149.06545357040477</v>
      </c>
      <c r="D52" s="732">
        <f t="shared" ref="D52:Q52" ca="1" si="6">SUM(D48:D51)</f>
        <v>0</v>
      </c>
      <c r="E52" s="732">
        <f t="shared" si="6"/>
        <v>38.896034601241688</v>
      </c>
      <c r="F52" s="732">
        <f t="shared" si="6"/>
        <v>58.294169168825633</v>
      </c>
      <c r="G52" s="732">
        <f t="shared" si="6"/>
        <v>0</v>
      </c>
      <c r="H52" s="732">
        <f t="shared" si="6"/>
        <v>27065.741548426333</v>
      </c>
      <c r="I52" s="732">
        <f t="shared" si="6"/>
        <v>5406.4201284148985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32718.417334181704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435.35747665796902</v>
      </c>
      <c r="D54" s="703">
        <f ca="1">+landbouw!C12</f>
        <v>0</v>
      </c>
      <c r="E54" s="703">
        <f>+landbouw!D12</f>
        <v>204.53796084222478</v>
      </c>
      <c r="F54" s="703">
        <f>+landbouw!E12</f>
        <v>13.380590561165311</v>
      </c>
      <c r="G54" s="703">
        <f>+landbouw!F12</f>
        <v>2230.6405895059702</v>
      </c>
      <c r="H54" s="703">
        <f>+landbouw!G12</f>
        <v>0</v>
      </c>
      <c r="I54" s="703">
        <f>+landbouw!H12</f>
        <v>0</v>
      </c>
      <c r="J54" s="703">
        <f>+landbouw!I12</f>
        <v>0</v>
      </c>
      <c r="K54" s="703">
        <f>+landbouw!J12</f>
        <v>102.85182066175084</v>
      </c>
      <c r="L54" s="703">
        <f>+landbouw!K12</f>
        <v>0</v>
      </c>
      <c r="M54" s="703">
        <f>+landbouw!L12</f>
        <v>0</v>
      </c>
      <c r="N54" s="703">
        <f>+landbouw!M12</f>
        <v>0</v>
      </c>
      <c r="O54" s="703">
        <f>+landbouw!N12</f>
        <v>0</v>
      </c>
      <c r="P54" s="703">
        <f>+landbouw!O12</f>
        <v>0</v>
      </c>
      <c r="Q54" s="704">
        <f>+landbouw!P12</f>
        <v>0</v>
      </c>
      <c r="R54" s="731">
        <f ca="1">SUM(C54:Q54)</f>
        <v>2986.7684382290799</v>
      </c>
    </row>
    <row r="55" spans="1:18" ht="15" thickBot="1">
      <c r="A55" s="825" t="s">
        <v>836</v>
      </c>
      <c r="B55" s="835"/>
      <c r="C55" s="703">
        <f ca="1">C25*'EF ele_warmte'!B12</f>
        <v>3993.7595756136989</v>
      </c>
      <c r="D55" s="703"/>
      <c r="E55" s="703">
        <f>E25*EF_CO2_aardgas</f>
        <v>11081.565929334749</v>
      </c>
      <c r="F55" s="703"/>
      <c r="G55" s="703"/>
      <c r="H55" s="703"/>
      <c r="I55" s="703"/>
      <c r="J55" s="703"/>
      <c r="K55" s="703"/>
      <c r="L55" s="703"/>
      <c r="M55" s="703"/>
      <c r="N55" s="703"/>
      <c r="O55" s="703"/>
      <c r="P55" s="703"/>
      <c r="Q55" s="704"/>
      <c r="R55" s="731">
        <f ca="1">SUM(C55:Q55)</f>
        <v>15075.325504948447</v>
      </c>
    </row>
    <row r="56" spans="1:18" ht="15.75" thickBot="1">
      <c r="A56" s="823" t="s">
        <v>837</v>
      </c>
      <c r="B56" s="836"/>
      <c r="C56" s="732">
        <f ca="1">SUM(C54:C55)</f>
        <v>4429.1170522716675</v>
      </c>
      <c r="D56" s="732">
        <f t="shared" ref="D56:Q56" ca="1" si="7">SUM(D54:D55)</f>
        <v>0</v>
      </c>
      <c r="E56" s="732">
        <f t="shared" si="7"/>
        <v>11286.103890176973</v>
      </c>
      <c r="F56" s="732">
        <f t="shared" si="7"/>
        <v>13.380590561165311</v>
      </c>
      <c r="G56" s="732">
        <f t="shared" si="7"/>
        <v>2230.6405895059702</v>
      </c>
      <c r="H56" s="732">
        <f t="shared" si="7"/>
        <v>0</v>
      </c>
      <c r="I56" s="732">
        <f t="shared" si="7"/>
        <v>0</v>
      </c>
      <c r="J56" s="732">
        <f t="shared" si="7"/>
        <v>0</v>
      </c>
      <c r="K56" s="732">
        <f t="shared" si="7"/>
        <v>102.85182066175084</v>
      </c>
      <c r="L56" s="732">
        <f t="shared" si="7"/>
        <v>0</v>
      </c>
      <c r="M56" s="732">
        <f t="shared" si="7"/>
        <v>0</v>
      </c>
      <c r="N56" s="732">
        <f t="shared" si="7"/>
        <v>0</v>
      </c>
      <c r="O56" s="732">
        <f t="shared" si="7"/>
        <v>0</v>
      </c>
      <c r="P56" s="732">
        <f t="shared" si="7"/>
        <v>0</v>
      </c>
      <c r="Q56" s="733">
        <f t="shared" si="7"/>
        <v>0</v>
      </c>
      <c r="R56" s="734">
        <f ca="1">SUM(R54:R55)</f>
        <v>18062.093943177526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42115.01057731919</v>
      </c>
      <c r="D61" s="740">
        <f t="shared" ref="D61:Q61" ca="1" si="8">D46+D52+D56</f>
        <v>0</v>
      </c>
      <c r="E61" s="740">
        <f t="shared" ca="1" si="8"/>
        <v>78583.743683708119</v>
      </c>
      <c r="F61" s="740">
        <f t="shared" si="8"/>
        <v>738.88532835315402</v>
      </c>
      <c r="G61" s="740">
        <f t="shared" ca="1" si="8"/>
        <v>7918.6055397603432</v>
      </c>
      <c r="H61" s="740">
        <f t="shared" si="8"/>
        <v>27065.741548426333</v>
      </c>
      <c r="I61" s="740">
        <f t="shared" si="8"/>
        <v>5406.4201284148985</v>
      </c>
      <c r="J61" s="740">
        <f t="shared" si="8"/>
        <v>0</v>
      </c>
      <c r="K61" s="740">
        <f t="shared" si="8"/>
        <v>103.84038366763798</v>
      </c>
      <c r="L61" s="740">
        <f t="shared" si="8"/>
        <v>0</v>
      </c>
      <c r="M61" s="740">
        <f t="shared" ca="1" si="8"/>
        <v>0</v>
      </c>
      <c r="N61" s="740">
        <f t="shared" si="8"/>
        <v>0</v>
      </c>
      <c r="O61" s="740">
        <f t="shared" ca="1" si="8"/>
        <v>0</v>
      </c>
      <c r="P61" s="740">
        <f t="shared" si="8"/>
        <v>0</v>
      </c>
      <c r="Q61" s="740">
        <f t="shared" si="8"/>
        <v>0</v>
      </c>
      <c r="R61" s="740">
        <f ca="1">R46+R52+R56</f>
        <v>161932.24718964964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0.21709074071604217</v>
      </c>
      <c r="D63" s="781">
        <f t="shared" ca="1" si="9"/>
        <v>0</v>
      </c>
      <c r="E63" s="1024">
        <f t="shared" ca="1" si="9"/>
        <v>0.20200000000000004</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3431.6091423385869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3431.6091423385869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3431.6091423385869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3431.6091423385869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65473.590512311937</v>
      </c>
      <c r="C4" s="477">
        <f>huishoudens!C8</f>
        <v>0</v>
      </c>
      <c r="D4" s="477">
        <f>huishoudens!D8</f>
        <v>206182.31304884475</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196.98000000000002</v>
      </c>
      <c r="P4" s="478">
        <f>huishoudens!P8</f>
        <v>572</v>
      </c>
      <c r="Q4" s="479">
        <f>SUM(B4:P4)</f>
        <v>272424.88356115669</v>
      </c>
    </row>
    <row r="5" spans="1:17">
      <c r="A5" s="476" t="s">
        <v>156</v>
      </c>
      <c r="B5" s="477">
        <f ca="1">tertiair!B16</f>
        <v>95921.715616407717</v>
      </c>
      <c r="C5" s="477">
        <f ca="1">tertiair!C16</f>
        <v>0</v>
      </c>
      <c r="D5" s="477">
        <f ca="1">tertiair!D16</f>
        <v>116719.43632697119</v>
      </c>
      <c r="E5" s="477">
        <f>tertiair!E16</f>
        <v>1348.4472038196391</v>
      </c>
      <c r="F5" s="477">
        <f ca="1">tertiair!F16</f>
        <v>16755.244933689988</v>
      </c>
      <c r="G5" s="477">
        <f>tertiair!G16</f>
        <v>0</v>
      </c>
      <c r="H5" s="477">
        <f>tertiair!H16</f>
        <v>0</v>
      </c>
      <c r="I5" s="477">
        <f>tertiair!I16</f>
        <v>0</v>
      </c>
      <c r="J5" s="477">
        <f>tertiair!J16</f>
        <v>0.29406325041565157</v>
      </c>
      <c r="K5" s="477">
        <f>tertiair!K16</f>
        <v>0</v>
      </c>
      <c r="L5" s="477">
        <f ca="1">tertiair!L16</f>
        <v>0</v>
      </c>
      <c r="M5" s="477">
        <f>tertiair!M16</f>
        <v>0</v>
      </c>
      <c r="N5" s="477">
        <f ca="1">tertiair!N16</f>
        <v>11656.027695338813</v>
      </c>
      <c r="O5" s="477">
        <f>tertiair!O16</f>
        <v>1.5633333333333335</v>
      </c>
      <c r="P5" s="478">
        <f>tertiair!P16</f>
        <v>76.266666666666666</v>
      </c>
      <c r="Q5" s="476">
        <f t="shared" ref="Q5:Q14" ca="1" si="0">SUM(B5:P5)</f>
        <v>242478.99583947778</v>
      </c>
    </row>
    <row r="6" spans="1:17">
      <c r="A6" s="476" t="s">
        <v>194</v>
      </c>
      <c r="B6" s="477">
        <f>'openbare verlichting'!B8</f>
        <v>3099.9409999999998</v>
      </c>
      <c r="C6" s="477"/>
      <c r="D6" s="477"/>
      <c r="E6" s="477"/>
      <c r="F6" s="477"/>
      <c r="G6" s="477"/>
      <c r="H6" s="477"/>
      <c r="I6" s="477"/>
      <c r="J6" s="477"/>
      <c r="K6" s="477"/>
      <c r="L6" s="477"/>
      <c r="M6" s="477"/>
      <c r="N6" s="477"/>
      <c r="O6" s="477"/>
      <c r="P6" s="478"/>
      <c r="Q6" s="476">
        <f t="shared" si="0"/>
        <v>3099.9409999999998</v>
      </c>
    </row>
    <row r="7" spans="1:17">
      <c r="A7" s="476" t="s">
        <v>112</v>
      </c>
      <c r="B7" s="477">
        <f>landbouw!B8</f>
        <v>2005.4170676372737</v>
      </c>
      <c r="C7" s="477">
        <f>landbouw!C8</f>
        <v>0</v>
      </c>
      <c r="D7" s="477">
        <f>landbouw!D8</f>
        <v>1012.5641625852711</v>
      </c>
      <c r="E7" s="477">
        <f>landbouw!E8</f>
        <v>58.94533286856965</v>
      </c>
      <c r="F7" s="477">
        <f>landbouw!F8</f>
        <v>8354.4591367264802</v>
      </c>
      <c r="G7" s="477">
        <f>landbouw!G8</f>
        <v>0</v>
      </c>
      <c r="H7" s="477">
        <f>landbouw!H8</f>
        <v>0</v>
      </c>
      <c r="I7" s="477">
        <f>landbouw!I8</f>
        <v>0</v>
      </c>
      <c r="J7" s="477">
        <f>landbouw!J8</f>
        <v>290.54186627613234</v>
      </c>
      <c r="K7" s="477">
        <f>landbouw!K8</f>
        <v>0</v>
      </c>
      <c r="L7" s="477">
        <f>landbouw!L8</f>
        <v>0</v>
      </c>
      <c r="M7" s="477">
        <f>landbouw!M8</f>
        <v>0</v>
      </c>
      <c r="N7" s="477">
        <f>landbouw!N8</f>
        <v>0</v>
      </c>
      <c r="O7" s="477">
        <f>landbouw!O8</f>
        <v>0</v>
      </c>
      <c r="P7" s="478">
        <f>landbouw!P8</f>
        <v>0</v>
      </c>
      <c r="Q7" s="476">
        <f t="shared" si="0"/>
        <v>11721.927566093727</v>
      </c>
    </row>
    <row r="8" spans="1:17">
      <c r="A8" s="476" t="s">
        <v>635</v>
      </c>
      <c r="B8" s="477">
        <f>industrie!B18</f>
        <v>8413.2239910865592</v>
      </c>
      <c r="C8" s="477">
        <f>industrie!C18</f>
        <v>0</v>
      </c>
      <c r="D8" s="477">
        <f>industrie!D18</f>
        <v>10062.328638688445</v>
      </c>
      <c r="E8" s="477">
        <f>industrie!E18</f>
        <v>1590.8064024498017</v>
      </c>
      <c r="F8" s="477">
        <f>industrie!F18</f>
        <v>4547.9945803713335</v>
      </c>
      <c r="G8" s="477">
        <f>industrie!G18</f>
        <v>0</v>
      </c>
      <c r="H8" s="477">
        <f>industrie!H18</f>
        <v>0</v>
      </c>
      <c r="I8" s="477">
        <f>industrie!I18</f>
        <v>0</v>
      </c>
      <c r="J8" s="477">
        <f>industrie!J18</f>
        <v>2.4984876136723404</v>
      </c>
      <c r="K8" s="477">
        <f>industrie!K18</f>
        <v>0</v>
      </c>
      <c r="L8" s="477">
        <f>industrie!L18</f>
        <v>0</v>
      </c>
      <c r="M8" s="477">
        <f>industrie!M18</f>
        <v>0</v>
      </c>
      <c r="N8" s="477">
        <f>industrie!N18</f>
        <v>2255.280407808566</v>
      </c>
      <c r="O8" s="477">
        <f>industrie!O18</f>
        <v>0</v>
      </c>
      <c r="P8" s="478">
        <f>industrie!P18</f>
        <v>0</v>
      </c>
      <c r="Q8" s="476">
        <f t="shared" si="0"/>
        <v>26872.132508018378</v>
      </c>
    </row>
    <row r="9" spans="1:17" s="482" customFormat="1">
      <c r="A9" s="480" t="s">
        <v>561</v>
      </c>
      <c r="B9" s="481">
        <f>transport!B14</f>
        <v>55.157269319891832</v>
      </c>
      <c r="C9" s="481">
        <f>transport!C14</f>
        <v>0</v>
      </c>
      <c r="D9" s="481">
        <f>transport!D14</f>
        <v>192.55462673882022</v>
      </c>
      <c r="E9" s="481">
        <f>transport!E14</f>
        <v>256.80250735165475</v>
      </c>
      <c r="F9" s="481">
        <f>transport!F14</f>
        <v>0</v>
      </c>
      <c r="G9" s="481">
        <f>transport!G14</f>
        <v>99836.729278571438</v>
      </c>
      <c r="H9" s="481">
        <f>transport!H14</f>
        <v>21712.53063620441</v>
      </c>
      <c r="I9" s="481">
        <f>transport!I14</f>
        <v>0</v>
      </c>
      <c r="J9" s="481">
        <f>transport!J14</f>
        <v>0</v>
      </c>
      <c r="K9" s="481">
        <f>transport!K14</f>
        <v>0</v>
      </c>
      <c r="L9" s="481">
        <f>transport!L14</f>
        <v>0</v>
      </c>
      <c r="M9" s="481">
        <f>transport!M14</f>
        <v>6473.5289756691545</v>
      </c>
      <c r="N9" s="481">
        <f>transport!N14</f>
        <v>0</v>
      </c>
      <c r="O9" s="481">
        <f>transport!O14</f>
        <v>0</v>
      </c>
      <c r="P9" s="481">
        <f>transport!P14</f>
        <v>0</v>
      </c>
      <c r="Q9" s="480">
        <f>SUM(B9:P9)</f>
        <v>128527.30329385537</v>
      </c>
    </row>
    <row r="10" spans="1:17">
      <c r="A10" s="476" t="s">
        <v>551</v>
      </c>
      <c r="B10" s="477">
        <f>transport!B54</f>
        <v>631.49317499999995</v>
      </c>
      <c r="C10" s="477">
        <f>transport!C54</f>
        <v>0</v>
      </c>
      <c r="D10" s="477">
        <f>transport!D54</f>
        <v>0</v>
      </c>
      <c r="E10" s="477">
        <f>transport!E54</f>
        <v>0</v>
      </c>
      <c r="F10" s="477">
        <f>transport!F54</f>
        <v>0</v>
      </c>
      <c r="G10" s="477">
        <f>transport!G54</f>
        <v>1533.0892548605091</v>
      </c>
      <c r="H10" s="477">
        <f>transport!H54</f>
        <v>0</v>
      </c>
      <c r="I10" s="477">
        <f>transport!I54</f>
        <v>0</v>
      </c>
      <c r="J10" s="477">
        <f>transport!J54</f>
        <v>0</v>
      </c>
      <c r="K10" s="477">
        <f>transport!K54</f>
        <v>0</v>
      </c>
      <c r="L10" s="477">
        <f>transport!L54</f>
        <v>0</v>
      </c>
      <c r="M10" s="477">
        <f>transport!M54</f>
        <v>87.072701736456963</v>
      </c>
      <c r="N10" s="477">
        <f>transport!N54</f>
        <v>0</v>
      </c>
      <c r="O10" s="477">
        <f>transport!O54</f>
        <v>0</v>
      </c>
      <c r="P10" s="478">
        <f>transport!P54</f>
        <v>0</v>
      </c>
      <c r="Q10" s="476">
        <f t="shared" si="0"/>
        <v>2251.6551315969659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18396.7292314765</v>
      </c>
      <c r="C14" s="484"/>
      <c r="D14" s="484">
        <f>'SEAP template'!E25</f>
        <v>54859.237273934399</v>
      </c>
      <c r="E14" s="484"/>
      <c r="F14" s="484"/>
      <c r="G14" s="484"/>
      <c r="H14" s="484"/>
      <c r="I14" s="484"/>
      <c r="J14" s="484"/>
      <c r="K14" s="484"/>
      <c r="L14" s="484"/>
      <c r="M14" s="484"/>
      <c r="N14" s="484"/>
      <c r="O14" s="484"/>
      <c r="P14" s="485"/>
      <c r="Q14" s="476">
        <f t="shared" si="0"/>
        <v>73255.966505410906</v>
      </c>
    </row>
    <row r="15" spans="1:17" s="486" customFormat="1">
      <c r="A15" s="1039" t="s">
        <v>555</v>
      </c>
      <c r="B15" s="987">
        <f ca="1">SUM(B4:B14)</f>
        <v>193997.26786323986</v>
      </c>
      <c r="C15" s="987">
        <f t="shared" ref="C15:Q15" ca="1" si="1">SUM(C4:C14)</f>
        <v>0</v>
      </c>
      <c r="D15" s="987">
        <f t="shared" ca="1" si="1"/>
        <v>389028.43407776288</v>
      </c>
      <c r="E15" s="987">
        <f t="shared" si="1"/>
        <v>3255.0014464896649</v>
      </c>
      <c r="F15" s="987">
        <f t="shared" ca="1" si="1"/>
        <v>29657.698650787803</v>
      </c>
      <c r="G15" s="987">
        <f t="shared" si="1"/>
        <v>101369.81853343194</v>
      </c>
      <c r="H15" s="987">
        <f t="shared" si="1"/>
        <v>21712.53063620441</v>
      </c>
      <c r="I15" s="987">
        <f t="shared" si="1"/>
        <v>0</v>
      </c>
      <c r="J15" s="987">
        <f t="shared" si="1"/>
        <v>293.33441714022035</v>
      </c>
      <c r="K15" s="987">
        <f t="shared" si="1"/>
        <v>0</v>
      </c>
      <c r="L15" s="987">
        <f t="shared" ca="1" si="1"/>
        <v>0</v>
      </c>
      <c r="M15" s="987">
        <f t="shared" si="1"/>
        <v>6560.6016774056116</v>
      </c>
      <c r="N15" s="987">
        <f t="shared" ca="1" si="1"/>
        <v>13911.308103147379</v>
      </c>
      <c r="O15" s="987">
        <f t="shared" si="1"/>
        <v>198.54333333333335</v>
      </c>
      <c r="P15" s="987">
        <f t="shared" si="1"/>
        <v>648.26666666666665</v>
      </c>
      <c r="Q15" s="987">
        <f t="shared" ca="1" si="1"/>
        <v>760632.80540560978</v>
      </c>
    </row>
    <row r="17" spans="1:17">
      <c r="A17" s="487" t="s">
        <v>556</v>
      </c>
      <c r="B17" s="786">
        <f ca="1">huishoudens!B10</f>
        <v>0.21709074071604217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14213.71026165663</v>
      </c>
      <c r="C22" s="477">
        <f t="shared" ref="C22:C32" ca="1" si="3">C4*$C$17</f>
        <v>0</v>
      </c>
      <c r="D22" s="477">
        <f t="shared" ref="D22:D32" si="4">D4*$D$17</f>
        <v>41648.827235866644</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55862.53749752327</v>
      </c>
    </row>
    <row r="23" spans="1:17">
      <c r="A23" s="476" t="s">
        <v>156</v>
      </c>
      <c r="B23" s="477">
        <f t="shared" ca="1" si="2"/>
        <v>20823.7162939195</v>
      </c>
      <c r="C23" s="477">
        <f t="shared" ca="1" si="3"/>
        <v>0</v>
      </c>
      <c r="D23" s="477">
        <f t="shared" ca="1" si="4"/>
        <v>23577.326138048182</v>
      </c>
      <c r="E23" s="477">
        <f t="shared" si="5"/>
        <v>306.0975152670581</v>
      </c>
      <c r="F23" s="477">
        <f t="shared" ca="1" si="6"/>
        <v>4473.6503972952269</v>
      </c>
      <c r="G23" s="477">
        <f t="shared" si="7"/>
        <v>0</v>
      </c>
      <c r="H23" s="477">
        <f t="shared" si="8"/>
        <v>0</v>
      </c>
      <c r="I23" s="477">
        <f t="shared" si="9"/>
        <v>0</v>
      </c>
      <c r="J23" s="477">
        <f t="shared" si="10"/>
        <v>0.10409839064714065</v>
      </c>
      <c r="K23" s="477">
        <f t="shared" si="11"/>
        <v>0</v>
      </c>
      <c r="L23" s="477">
        <f t="shared" ca="1" si="12"/>
        <v>0</v>
      </c>
      <c r="M23" s="477">
        <f t="shared" si="13"/>
        <v>0</v>
      </c>
      <c r="N23" s="477">
        <f t="shared" ca="1" si="14"/>
        <v>0</v>
      </c>
      <c r="O23" s="477">
        <f t="shared" si="15"/>
        <v>0</v>
      </c>
      <c r="P23" s="478">
        <f t="shared" si="16"/>
        <v>0</v>
      </c>
      <c r="Q23" s="476">
        <f t="shared" ref="Q23:Q32" ca="1" si="17">SUM(B23:P23)</f>
        <v>49180.894442920617</v>
      </c>
    </row>
    <row r="24" spans="1:17">
      <c r="A24" s="476" t="s">
        <v>194</v>
      </c>
      <c r="B24" s="477">
        <f t="shared" ca="1" si="2"/>
        <v>672.96848786602845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672.96848786602845</v>
      </c>
    </row>
    <row r="25" spans="1:17">
      <c r="A25" s="476" t="s">
        <v>112</v>
      </c>
      <c r="B25" s="477">
        <f t="shared" ca="1" si="2"/>
        <v>435.35747665796902</v>
      </c>
      <c r="C25" s="477">
        <f t="shared" ca="1" si="3"/>
        <v>0</v>
      </c>
      <c r="D25" s="477">
        <f t="shared" si="4"/>
        <v>204.53796084222478</v>
      </c>
      <c r="E25" s="477">
        <f t="shared" si="5"/>
        <v>13.380590561165311</v>
      </c>
      <c r="F25" s="477">
        <f t="shared" si="6"/>
        <v>2230.6405895059702</v>
      </c>
      <c r="G25" s="477">
        <f t="shared" si="7"/>
        <v>0</v>
      </c>
      <c r="H25" s="477">
        <f t="shared" si="8"/>
        <v>0</v>
      </c>
      <c r="I25" s="477">
        <f t="shared" si="9"/>
        <v>0</v>
      </c>
      <c r="J25" s="477">
        <f t="shared" si="10"/>
        <v>102.85182066175084</v>
      </c>
      <c r="K25" s="477">
        <f t="shared" si="11"/>
        <v>0</v>
      </c>
      <c r="L25" s="477">
        <f t="shared" si="12"/>
        <v>0</v>
      </c>
      <c r="M25" s="477">
        <f t="shared" si="13"/>
        <v>0</v>
      </c>
      <c r="N25" s="477">
        <f t="shared" si="14"/>
        <v>0</v>
      </c>
      <c r="O25" s="477">
        <f t="shared" si="15"/>
        <v>0</v>
      </c>
      <c r="P25" s="478">
        <f t="shared" si="16"/>
        <v>0</v>
      </c>
      <c r="Q25" s="476">
        <f t="shared" ca="1" si="17"/>
        <v>2986.7684382290799</v>
      </c>
    </row>
    <row r="26" spans="1:17">
      <c r="A26" s="476" t="s">
        <v>635</v>
      </c>
      <c r="B26" s="477">
        <f t="shared" ca="1" si="2"/>
        <v>1826.4330280349577</v>
      </c>
      <c r="C26" s="477">
        <f t="shared" ca="1" si="3"/>
        <v>0</v>
      </c>
      <c r="D26" s="477">
        <f t="shared" si="4"/>
        <v>2032.590385015066</v>
      </c>
      <c r="E26" s="477">
        <f t="shared" si="5"/>
        <v>361.11305335610501</v>
      </c>
      <c r="F26" s="477">
        <f t="shared" si="6"/>
        <v>1214.3145529591461</v>
      </c>
      <c r="G26" s="477">
        <f t="shared" si="7"/>
        <v>0</v>
      </c>
      <c r="H26" s="477">
        <f t="shared" si="8"/>
        <v>0</v>
      </c>
      <c r="I26" s="477">
        <f t="shared" si="9"/>
        <v>0</v>
      </c>
      <c r="J26" s="477">
        <f t="shared" si="10"/>
        <v>0.88446461524000841</v>
      </c>
      <c r="K26" s="477">
        <f t="shared" si="11"/>
        <v>0</v>
      </c>
      <c r="L26" s="477">
        <f t="shared" si="12"/>
        <v>0</v>
      </c>
      <c r="M26" s="477">
        <f t="shared" si="13"/>
        <v>0</v>
      </c>
      <c r="N26" s="477">
        <f t="shared" si="14"/>
        <v>0</v>
      </c>
      <c r="O26" s="477">
        <f t="shared" si="15"/>
        <v>0</v>
      </c>
      <c r="P26" s="478">
        <f t="shared" si="16"/>
        <v>0</v>
      </c>
      <c r="Q26" s="476">
        <f t="shared" ca="1" si="17"/>
        <v>5435.3354839805152</v>
      </c>
    </row>
    <row r="27" spans="1:17" s="482" customFormat="1">
      <c r="A27" s="480" t="s">
        <v>561</v>
      </c>
      <c r="B27" s="780">
        <f t="shared" ca="1" si="2"/>
        <v>11.974132452529545</v>
      </c>
      <c r="C27" s="481">
        <f t="shared" ca="1" si="3"/>
        <v>0</v>
      </c>
      <c r="D27" s="481">
        <f t="shared" si="4"/>
        <v>38.896034601241688</v>
      </c>
      <c r="E27" s="481">
        <f t="shared" si="5"/>
        <v>58.294169168825633</v>
      </c>
      <c r="F27" s="481">
        <f t="shared" si="6"/>
        <v>0</v>
      </c>
      <c r="G27" s="481">
        <f t="shared" si="7"/>
        <v>26656.406717378577</v>
      </c>
      <c r="H27" s="481">
        <f t="shared" si="8"/>
        <v>5406.4201284148985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32171.991182016074</v>
      </c>
    </row>
    <row r="28" spans="1:17">
      <c r="A28" s="476" t="s">
        <v>551</v>
      </c>
      <c r="B28" s="477">
        <f t="shared" ca="1" si="2"/>
        <v>137.09132111787522</v>
      </c>
      <c r="C28" s="477">
        <f t="shared" ca="1" si="3"/>
        <v>0</v>
      </c>
      <c r="D28" s="477">
        <f t="shared" si="4"/>
        <v>0</v>
      </c>
      <c r="E28" s="477">
        <f t="shared" si="5"/>
        <v>0</v>
      </c>
      <c r="F28" s="477">
        <f t="shared" si="6"/>
        <v>0</v>
      </c>
      <c r="G28" s="477">
        <f t="shared" si="7"/>
        <v>409.33483104775593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546.42615216563115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3993.7595756136989</v>
      </c>
      <c r="C32" s="477">
        <f t="shared" ca="1" si="3"/>
        <v>0</v>
      </c>
      <c r="D32" s="477">
        <f t="shared" si="4"/>
        <v>11081.565929334749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15075.325504948447</v>
      </c>
    </row>
    <row r="33" spans="1:17" s="486" customFormat="1">
      <c r="A33" s="1039" t="s">
        <v>555</v>
      </c>
      <c r="B33" s="987">
        <f ca="1">SUM(B22:B32)</f>
        <v>42115.010577319197</v>
      </c>
      <c r="C33" s="987">
        <f t="shared" ref="C33:Q33" ca="1" si="18">SUM(C22:C32)</f>
        <v>0</v>
      </c>
      <c r="D33" s="987">
        <f t="shared" ca="1" si="18"/>
        <v>78583.743683708104</v>
      </c>
      <c r="E33" s="987">
        <f t="shared" si="18"/>
        <v>738.88532835315414</v>
      </c>
      <c r="F33" s="987">
        <f t="shared" ca="1" si="18"/>
        <v>7918.6055397603432</v>
      </c>
      <c r="G33" s="987">
        <f t="shared" si="18"/>
        <v>27065.741548426333</v>
      </c>
      <c r="H33" s="987">
        <f t="shared" si="18"/>
        <v>5406.4201284148985</v>
      </c>
      <c r="I33" s="987">
        <f t="shared" si="18"/>
        <v>0</v>
      </c>
      <c r="J33" s="987">
        <f t="shared" si="18"/>
        <v>103.84038366763798</v>
      </c>
      <c r="K33" s="987">
        <f t="shared" si="18"/>
        <v>0</v>
      </c>
      <c r="L33" s="987">
        <f t="shared" ca="1" si="18"/>
        <v>0</v>
      </c>
      <c r="M33" s="987">
        <f t="shared" si="18"/>
        <v>0</v>
      </c>
      <c r="N33" s="987">
        <f t="shared" ca="1" si="18"/>
        <v>0</v>
      </c>
      <c r="O33" s="987">
        <f t="shared" si="18"/>
        <v>0</v>
      </c>
      <c r="P33" s="987">
        <f t="shared" si="18"/>
        <v>0</v>
      </c>
      <c r="Q33" s="987">
        <f t="shared" ca="1" si="18"/>
        <v>161932.24718964964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3431.6091423385869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3431.6091423385869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0.21709074071604217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0.21709074071604217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2019-08-12T08:33:14Z</dcterms:modified>
</cp:coreProperties>
</file>