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<sst xmlns="http://schemas.openxmlformats.org/spreadsheetml/2006/main" count="2410" uniqueCount="894">
  <si>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</si>
  <si>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</si>
  <si>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</si>
  <si>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</si>
  <si>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</si>
  <si>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</si>
  <si>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</si>
  <si>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</si>
  <si>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</si>
  <si>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</si>
  <si>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</si>
  <si>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</si>
  <si>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</si>
  <si>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</si>
  <si>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</si>
  <si>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</si>
  <si>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</si>
  <si>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</si>
  <si>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</si>
  <si>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</si>
  <si>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</si>
  <si>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</si>
  <si>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</si>
  <si>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</si>
  <si>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</si>
  <si>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</si>
  <si>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</si>
  <si>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</si>
  <si>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</si>
  <si>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</si>
  <si>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</si>
  <si>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</si>
  <si>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</si>
  <si>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</si>
  <si>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</si>
  <si>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</si>
  <si>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</si>
  <si>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</si>
  <si>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</si>
  <si>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</si>
  <si>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</si>
  <si>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</si>
  <si>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</si>
  <si>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</si>
  <si>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</si>
  <si>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</si>
  <si>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</si>
  <si>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</si>
  <si>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</si>
  <si>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</si>
  <si>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</si>
  <si>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</si>
  <si>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</si>
  <si>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</si>
  <si>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</si>
  <si>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</si>
  <si>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</si>
  <si>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</si>
  <si>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</si>
  <si>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</si>
  <si>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</si>
  <si>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</si>
  <si>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</si>
  <si>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</si>
  <si>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</si>
  <si>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</si>
  <si>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</si>
  <si>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</si>
  <si>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</si>
  <si>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</si>
  <si>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</si>
  <si>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</si>
  <si>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</si>
  <si>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</si>
  <si>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</si>
  <si>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</si>
  <si>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</si>
  <si>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</si>
  <si>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</si>
  <si>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</si>
  <si>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</si>
  <si>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</si>
  <si>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</si>
  <si>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</si>
  <si>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</si>
  <si>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</si>
  <si>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</si>
  <si>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</si>
  <si>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</si>
  <si>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</si>
  <si>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</si>
  <si>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</si>
  <si>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</si>
  <si>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</si>
  <si>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</si>
  <si>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</si>
  <si>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</si>
  <si>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</si>
  <si>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</si>
  <si>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</si>
  <si>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</si>
  <si>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</si>
  <si>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</si>
  <si>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</si>
  <si>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</si>
  <si>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</si>
  <si>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</si>
  <si>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</si>
  <si>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</si>
  <si>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</si>
  <si>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</si>
  <si>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</si>
  <si>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</si>
  <si>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</si>
  <si>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</si>
  <si>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</si>
  <si>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</si>
  <si>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</si>
  <si>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</si>
  <si>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</si>
  <si>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</si>
  <si>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</si>
  <si>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</si>
  <si>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</si>
  <si>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</si>
  <si>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</si>
  <si>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</si>
  <si>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</si>
  <si>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</si>
  <si>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</si>
  <si>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</si>
  <si>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</si>
  <si>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</si>
  <si>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</si>
  <si>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</si>
  <si>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</si>
  <si>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</si>
  <si>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</si>
  <si>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</si>
  <si>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</si>
  <si>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</si>
  <si>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</si>
  <si>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</si>
  <si>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</si>
  <si>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</si>
  <si>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</si>
  <si>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</si>
  <si>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</si>
  <si>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</si>
  <si>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</si>
  <si>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</si>
  <si>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</si>
  <si>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</si>
  <si>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</si>
  <si>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</si>
  <si>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</si>
  <si>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</si>
  <si>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</si>
  <si>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</si>
  <si>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</si>
  <si>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</si>
  <si>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</si>
  <si>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</si>
  <si>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</si>
  <si>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</si>
  <si>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</si>
  <si>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</si>
  <si>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</si>
  <si>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</si>
  <si>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</si>
  <si>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</si>
  <si>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</si>
  <si>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</si>
  <si>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</si>
  <si>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</si>
  <si>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</si>
  <si>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</si>
  <si>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</si>
  <si>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</si>
  <si>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</si>
  <si>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</si>
  <si>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</si>
  <si>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</si>
  <si>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</si>
  <si>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</si>
  <si>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</si>
  <si>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</si>
  <si>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</si>
  <si>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</si>
  <si>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</si>
  <si>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</si>
  <si>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</si>
  <si>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</si>
  <si>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</si>
  <si>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</si>
  <si>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</si>
  <si>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</si>
  <si>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</si>
  <si>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</si>
  <si>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</si>
  <si>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</si>
  <si>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</si>
  <si>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</si>
  <si>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</si>
  <si>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</si>
  <si>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</si>
  <si>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</si>
  <si>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</si>
  <si>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</si>
  <si>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</si>
  <si>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</si>
  <si>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</si>
  <si>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</si>
  <si>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</si>
  <si>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</si>
  <si>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</si>
  <si>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</si>
  <si>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</si>
  <si>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</si>
  <si>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</si>
  <si>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</si>
  <si>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</si>
  <si>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</si>
  <si>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</si>
  <si>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</si>
  <si>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</si>
  <si>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</si>
  <si>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</si>
  <si>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</si>
  <si>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</si>
  <si>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</si>
  <si>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</si>
  <si>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</si>
  <si>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</si>
  <si>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</si>
  <si>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</si>
  <si>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</si>
  <si>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</si>
  <si>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</si>
  <si>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</si>
  <si>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</si>
  <si>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</si>
  <si>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</si>
  <si>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</si>
  <si>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</si>
  <si>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</si>
  <si>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</si>
  <si>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</si>
  <si>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</si>
  <si>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</si>
  <si>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</si>
  <si>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</si>
  <si>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</si>
  <si>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</si>
  <si>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</si>
  <si>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</si>
  <si>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</si>
  <si>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</si>
  <si>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</si>
  <si>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</si>
  <si>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</si>
  <si>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</si>
  <si>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</si>
  <si>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</si>
  <si>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</si>
  <si>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</si>
  <si>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</si>
  <si>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</si>
  <si>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</si>
  <si>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</si>
  <si>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</si>
  <si>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</si>
  <si>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</si>
  <si>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</si>
  <si>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</si>
  <si>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</si>
  <si>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</si>
  <si>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</si>
  <si>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</si>
  <si>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</si>
  <si>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</si>
  <si>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</si>
  <si>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</si>
  <si>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</si>
  <si>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</si>
  <si>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</si>
  <si>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</si>
  <si>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</si>
  <si>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</si>
  <si>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</si>
  <si>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</si>
  <si>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</si>
  <si>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</si>
  <si>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</si>
  <si>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</si>
  <si>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</si>
  <si>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</si>
  <si>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</si>
  <si>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</si>
  <si>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</si>
  <si>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</si>
  <si>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</si>
  <si>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</si>
  <si>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</si>
  <si>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</si>
  <si>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</si>
  <si>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</si>
  <si>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</si>
  <si>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</si>
  <si>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</si>
  <si>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</si>
  <si>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</si>
  <si>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</si>
  <si>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</si>
  <si>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</si>
  <si>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</si>
  <si>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</si>
  <si>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</si>
  <si>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</si>
  <si>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</si>
  <si>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</si>
  <si>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</si>
  <si>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</si>
  <si>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</si>
  <si>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</si>
  <si>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</si>
  <si>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</si>
  <si>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</si>
  <si>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</si>
  <si>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</si>
  <si>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</si>
  <si>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</si>
  <si>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</si>
  <si>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</si>
  <si>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</si>
  <si>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</si>
  <si>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</si>
  <si>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</si>
  <si>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</si>
  <si>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</si>
  <si>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</si>
  <si>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</si>
  <si>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</si>
  <si>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</si>
  <si>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</si>
  <si>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</si>
  <si>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</si>
  <si>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</si>
  <si>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</si>
  <si>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</si>
  <si>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</si>
  <si>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</si>
  <si>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</si>
  <si>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</si>
  <si>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</si>
  <si>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</si>
  <si>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</si>
  <si>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</si>
  <si>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</si>
  <si>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</si>
  <si>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</si>
  <si>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</si>
  <si>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</si>
  <si>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</si>
  <si>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</si>
  <si>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</si>
  <si>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</si>
  <si>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</si>
  <si>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</si>
  <si>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</si>
  <si>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</si>
  <si>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</si>
  <si>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</si>
  <si>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</si>
  <si>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</si>
  <si>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</si>
  <si>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</si>
  <si>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</si>
  <si>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</si>
  <si>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</si>
  <si>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</si>
  <si>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</si>
  <si>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</si>
  <si>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</si>
  <si>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</si>
  <si>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</si>
  <si>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</si>
  <si>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</si>
  <si>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</si>
  <si>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</si>
  <si>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</si>
  <si>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</si>
  <si>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</si>
  <si>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</si>
  <si>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</si>
  <si>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</si>
  <si>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</si>
  <si>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</si>
  <si>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</si>
  <si>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</si>
  <si>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</si>
  <si>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</si>
  <si>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</si>
  <si>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</si>
  <si>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</si>
  <si>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</si>
  <si>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</si>
  <si>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</si>
  <si>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</si>
  <si>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</si>
  <si>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</si>
  <si>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</si>
  <si>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</si>
  <si>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</si>
  <si>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</si>
  <si>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</si>
  <si>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</si>
  <si>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</si>
  <si>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</si>
  <si>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</si>
  <si>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</si>
  <si>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</si>
  <si>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</si>
  <si>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</si>
  <si>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</si>
  <si>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</si>
  <si>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</si>
  <si>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</si>
  <si>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</si>
  <si>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</si>
  <si>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</si>
  <si>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</si>
  <si>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</si>
  <si>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</si>
  <si>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</si>
  <si>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</si>
  <si>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</si>
  <si>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</si>
  <si>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</si>
  <si>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</si>
  <si>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</si>
  <si>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</si>
  <si>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</si>
  <si>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</si>
  <si>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</si>
  <si>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</si>
  <si>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</si>
  <si>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</si>
  <si>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</si>
  <si>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</si>
  <si>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</si>
  <si>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</si>
  <si>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</si>
  <si>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</si>
  <si>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</si>
  <si>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</si>
  <si>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</si>
  <si>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</si>
  <si>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</si>
  <si>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</si>
  <si>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</si>
  <si>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</si>
  <si>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</si>
  <si>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</si>
  <si>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</si>
  <si>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</si>
  <si>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</si>
  <si>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</si>
  <si>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</si>
  <si>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</si>
  <si>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</si>
  <si>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</si>
  <si>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</si>
  <si>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</si>
  <si>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</si>
  <si>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</si>
  <si>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</si>
  <si>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</si>
  <si>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</si>
  <si>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</si>
  <si>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</si>
  <si>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</si>
  <si>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</si>
  <si>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</si>
  <si>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</si>
  <si>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</si>
  <si>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</si>
  <si>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</si>
  <si>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</si>
  <si>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</si>
  <si>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</si>
  <si>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</si>
  <si>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</si>
  <si>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</si>
  <si>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</si>
  <si>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</si>
  <si>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</si>
  <si>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</si>
  <si>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</si>
  <si>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</si>
  <si>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</si>
  <si>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</si>
  <si>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</si>
  <si>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</si>
  <si>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</si>
  <si>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</si>
  <si>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</si>
  <si>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</si>
  <si>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</si>
  <si>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</si>
  <si>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</si>
  <si>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</si>
  <si>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</si>
  <si>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</si>
  <si>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</si>
  <si>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</si>
  <si>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</si>
  <si>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</si>
  <si>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</si>
  <si>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</si>
  <si>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</si>
  <si>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</si>
  <si>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</si>
  <si>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</si>
  <si>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</si>
  <si>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</si>
  <si>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</si>
  <si>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</si>
  <si>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</si>
  <si>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</si>
  <si>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</si>
  <si>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</si>
  <si>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</si>
  <si>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</si>
  <si>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</si>
  <si>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</si>
  <si>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</si>
  <si>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</si>
  <si>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</si>
  <si>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</si>
  <si>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</si>
  <si>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</si>
  <si>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</si>
  <si>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</si>
  <si>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</si>
  <si>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</si>
  <si>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</si>
  <si>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</si>
  <si>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</si>
  <si>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</si>
  <si>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</si>
  <si>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</si>
  <si>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</si>
  <si>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</si>
  <si>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</si>
  <si>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</si>
  <si>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</si>
  <si>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</si>
  <si>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</si>
  <si>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</si>
  <si>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</si>
  <si>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</si>
  <si>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</si>
  <si>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</si>
  <si>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</si>
  <si>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</si>
  <si>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</si>
  <si>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</si>
  <si>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</si>
  <si>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</si>
  <si>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</si>
  <si>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</si>
  <si>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</si>
  <si>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</si>
  <si>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</si>
  <si>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</si>
  <si>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</si>
  <si>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</si>
  <si>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</si>
  <si>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</si>
  <si>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</si>
  <si>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</si>
  <si>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</si>
  <si>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</si>
  <si>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</si>
  <si>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</si>
  <si>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</si>
  <si>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</si>
  <si>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</si>
  <si>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</si>
  <si>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</si>
  <si>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</si>
  <si>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</si>
  <si>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</si>
  <si>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</si>
  <si>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</si>
  <si>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</si>
  <si>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</si>
  <si>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</si>
  <si>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</si>
  <si>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</si>
  <si>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</si>
  <si>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</si>
  <si>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</si>
  <si>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</si>
  <si>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</si>
  <si>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</si>
  <si>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</si>
  <si>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</si>
  <si>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</si>
  <si>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</si>
  <si>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</si>
  <si>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</si>
  <si>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</si>
  <si>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</si>
  <si>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</si>
  <si>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</si>
  <si>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</si>
  <si>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</si>
  <si>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</si>
  <si>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</si>
  <si>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</si>
  <si>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</si>
  <si>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</si>
  <si>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</si>
  <si>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</si>
  <si>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</si>
  <si>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</si>
  <si>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</si>
  <si>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</si>
  <si>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</si>
  <si>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</si>
  <si>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</si>
  <si>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</si>
  <si>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</si>
  <si>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</si>
  <si>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</si>
  <si>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</si>
  <si>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</si>
  <si>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</si>
  <si>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</si>
  <si>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</si>
  <si>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</si>
  <si>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</si>
  <si>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</si>
  <si>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</si>
  <si>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</si>
  <si>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</si>
  <si>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</si>
  <si>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</si>
  <si>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</si>
  <si>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</si>
  <si>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</si>
  <si>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</si>
  <si>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</si>
  <si>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</si>
  <si>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</si>
  <si>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</si>
  <si>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</si>
  <si>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</si>
  <si>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</si>
  <si>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</si>
  <si>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</si>
  <si>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</si>
  <si>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</si>
  <si>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</si>
  <si>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</si>
  <si>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</si>
  <si>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</si>
  <si>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</si>
  <si>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</si>
  <si>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</si>
  <si>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</si>
  <si>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</si>
  <si>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</si>
  <si>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</si>
  <si>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</si>
  <si>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</si>
  <si>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</si>
  <si>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</si>
  <si>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</si>
  <si>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</si>
  <si>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</si>
  <si>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</si>
  <si>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</si>
  <si>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</si>
  <si>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</si>
  <si>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</si>
  <si>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</si>
  <si>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</si>
  <si>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</si>
  <si>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</si>
  <si>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</si>
  <si>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</si>
  <si>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</si>
  <si>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</si>
  <si>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</si>
  <si>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</si>
  <si>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</si>
  <si>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</si>
  <si>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</si>
  <si>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</si>
  <si>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</si>
  <si>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</si>
  <si>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</si>
  <si>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</si>
  <si>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</si>
  <si>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</si>
  <si>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</si>
  <si>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</si>
  <si>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</si>
  <si>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</si>
  <si>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</si>
  <si>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</si>
  <si>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</si>
  <si>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</si>
  <si>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</si>
  <si>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</si>
  <si>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</si>
  <si>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</si>
  <si>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</si>
  <si>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</si>
  <si>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</si>
  <si>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</si>
  <si>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</si>
  <si>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</si>
  <si>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</si>
  <si>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</si>
  <si>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</si>
  <si>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</si>
  <si>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</si>
  <si>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</si>
  <si>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</si>
  <si>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</si>
  <si>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</si>
  <si>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</si>
  <si>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</si>
  <si>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</si>
  <si>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</si>
  <si>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</si>
  <si>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</si>
  <si>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</si>
  <si>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</si>
  <si>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</si>
  <si>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</si>
  <si>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</si>
  <si>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</si>
  <si>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</si>
  <si>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</si>
  <si>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</si>
  <si>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</si>
  <si>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</si>
  <si>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</si>
  <si>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</si>
  <si>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</si>
  <si>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</si>
  <si>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</si>
  <si>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</si>
  <si>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</si>
  <si>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</si>
  <si>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</si>
  <si>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</si>
  <si>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</si>
  <si>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</si>
  <si>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</si>
  <si>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</si>
  <si>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</si>
  <si>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</si>
  <si>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</si>
  <si>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</si>
  <si>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</si>
  <si>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</si>
  <si>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</si>
  <si>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</si>
  <si>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</si>
  <si>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</si>
  <si>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</si>
  <si>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</si>
  <si>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</si>
  <si>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</si>
  <si>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</si>
  <si>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</si>
  <si>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</si>
  <si>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</si>
  <si>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</si>
  <si>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</si>
  <si>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</si>
  <si>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</si>
  <si>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</si>
  <si>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</si>
  <si>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</si>
  <si>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</si>
  <si>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</si>
  <si>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</si>
  <si>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</si>
  <si>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</si>
  <si>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</si>
  <si>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</si>
  <si>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</si>
  <si>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</si>
  <si>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</si>
  <si>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</si>
  <si>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</si>
  <si>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</si>
  <si>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</si>
  <si>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</si>
  <si>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</si>
  <si>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</si>
  <si>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</si>
  <si>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</si>
  <si>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</si>
  <si>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</si>
  <si>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</si>
  <si>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</si>
  <si>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</si>
  <si>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</si>
  <si>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</si>
  <si>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</si>
  <si>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</si>
  <si>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</si>
  <si>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</si>
  <si>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</si>
  <si>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</si>
  <si>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</si>
  <si>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</si>
  <si>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</si>
  <si>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</si>
  <si>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</si>
  <si>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</si>
  <si>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</si>
  <si>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</si>
  <si>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</si>
  <si>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</si>
  <si>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</si>
  <si>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</si>
  <si>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</si>
  <si>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</si>
  <si>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</si>
  <si>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</si>
  <si>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</si>
  <si>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</si>
  <si>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</si>
  <si>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</si>
  <si>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</si>
  <si>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</si>
  <si>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</si>
  <si>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</si>
  <si>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</si>
  <si>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</si>
  <si>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</si>
  <si>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</si>
  <si>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</si>
  <si>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</si>
  <si>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</si>
  <si>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</si>
  <si>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</si>
  <si>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</si>
  <si>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</si>
  <si>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</si>
  <si>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</si>
  <si>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</si>
  <si>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</si>
  <si>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</si>
  <si>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</si>
  <si>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</si>
  <si>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</si>
  <si>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</si>
  <si>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</si>
  <si>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</si>
  <si>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</si>
  <si>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</si>
  <si>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</si>
  <si>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</si>
  <si>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31012</t>
  </si>
  <si>
    <t>JABBEKE</t>
  </si>
  <si>
    <t>Eandis (januari 2018); Infrax (juni 2018)</t>
  </si>
  <si>
    <t>MOW (september 2017)</t>
  </si>
  <si>
    <t>referentietaak LNE (2017); Jaarverslag De Lijn (2016)</t>
  </si>
  <si>
    <t>VEA (april 2018)</t>
  </si>
  <si>
    <t>VEA (januari 2017)</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</si>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</sst>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118225.5758484355</c:v>
                </c:pt>
                <c:pt idx="1">
                  <c:v>35393.795754444101</c:v>
                </c:pt>
                <c:pt idx="2">
                  <c:v>1047.0730000000001</c:v>
                </c:pt>
                <c:pt idx="3">
                  <c:v>32245.313587451648</c:v>
                </c:pt>
                <c:pt idx="4">
                  <c:v>89378.196381529269</c:v>
                </c:pt>
                <c:pt idx="5">
                  <c:v>267292.3347274827</c:v>
                </c:pt>
                <c:pt idx="6">
                  <c:v>1403.010884299074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118225.5758484355</c:v>
                </c:pt>
                <c:pt idx="1">
                  <c:v>35393.795754444101</c:v>
                </c:pt>
                <c:pt idx="2">
                  <c:v>1047.0730000000001</c:v>
                </c:pt>
                <c:pt idx="3">
                  <c:v>32245.313587451648</c:v>
                </c:pt>
                <c:pt idx="4">
                  <c:v>89378.196381529269</c:v>
                </c:pt>
                <c:pt idx="5">
                  <c:v>267292.3347274827</c:v>
                </c:pt>
                <c:pt idx="6">
                  <c:v>1403.010884299074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21402.857549369968</c:v>
                </c:pt>
                <c:pt idx="2">
                  <c:v>6971.0313982617645</c:v>
                </c:pt>
                <c:pt idx="3">
                  <c:v>214.92995217078408</c:v>
                </c:pt>
                <c:pt idx="4">
                  <c:v>7745.6801706571287</c:v>
                </c:pt>
                <c:pt idx="5">
                  <c:v>8678.9475448093272</c:v>
                </c:pt>
                <c:pt idx="6">
                  <c:v>66950.536588552655</c:v>
                </c:pt>
                <c:pt idx="7">
                  <c:v>354.47149030026765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21402.857549369968</c:v>
                </c:pt>
                <c:pt idx="2">
                  <c:v>6971.0313982617645</c:v>
                </c:pt>
                <c:pt idx="3">
                  <c:v>214.92995217078408</c:v>
                </c:pt>
                <c:pt idx="4">
                  <c:v>7745.6801706571287</c:v>
                </c:pt>
                <c:pt idx="5">
                  <c:v>8678.9475448093272</c:v>
                </c:pt>
                <c:pt idx="6">
                  <c:v>66950.536588552655</c:v>
                </c:pt>
                <c:pt idx="7">
                  <c:v>354.47149030026765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0.2052673998573013</v>
      </c>
      <c r="C17" s="524">
        <f ca="1">'EF ele_warmte'!B22</f>
        <v>0.23650316418746939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0.2052673998573013</v>
      </c>
      <c r="C29" s="525">
        <f ca="1">'EF ele_warmte'!B22</f>
        <v>0.23650316418746939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5635</v>
      </c>
      <c r="C9" s="342">
        <v>5659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3337.7</v>
      </c>
    </row>
    <row r="15" spans="1:6">
      <c r="A15" s="348" t="s">
        <v>184</v>
      </c>
      <c r="B15" s="334">
        <v>43</v>
      </c>
    </row>
    <row r="16" spans="1:6">
      <c r="A16" s="348" t="s">
        <v>6</v>
      </c>
      <c r="B16" s="334">
        <v>1638</v>
      </c>
    </row>
    <row r="17" spans="1:6">
      <c r="A17" s="348" t="s">
        <v>7</v>
      </c>
      <c r="B17" s="334">
        <v>1856</v>
      </c>
    </row>
    <row r="18" spans="1:6">
      <c r="A18" s="348" t="s">
        <v>8</v>
      </c>
      <c r="B18" s="334">
        <v>2633</v>
      </c>
    </row>
    <row r="19" spans="1:6">
      <c r="A19" s="348" t="s">
        <v>9</v>
      </c>
      <c r="B19" s="334">
        <v>2273</v>
      </c>
    </row>
    <row r="20" spans="1:6">
      <c r="A20" s="348" t="s">
        <v>10</v>
      </c>
      <c r="B20" s="334">
        <v>1385</v>
      </c>
    </row>
    <row r="21" spans="1:6">
      <c r="A21" s="348" t="s">
        <v>11</v>
      </c>
      <c r="B21" s="334">
        <v>10575</v>
      </c>
    </row>
    <row r="22" spans="1:6">
      <c r="A22" s="348" t="s">
        <v>12</v>
      </c>
      <c r="B22" s="334">
        <v>13480</v>
      </c>
    </row>
    <row r="23" spans="1:6">
      <c r="A23" s="348" t="s">
        <v>13</v>
      </c>
      <c r="B23" s="334">
        <v>639</v>
      </c>
    </row>
    <row r="24" spans="1:6">
      <c r="A24" s="348" t="s">
        <v>14</v>
      </c>
      <c r="B24" s="334">
        <v>13</v>
      </c>
    </row>
    <row r="25" spans="1:6">
      <c r="A25" s="348" t="s">
        <v>15</v>
      </c>
      <c r="B25" s="334">
        <v>2256</v>
      </c>
    </row>
    <row r="26" spans="1:6">
      <c r="A26" s="348" t="s">
        <v>16</v>
      </c>
      <c r="B26" s="334">
        <v>404</v>
      </c>
    </row>
    <row r="27" spans="1:6">
      <c r="A27" s="348" t="s">
        <v>17</v>
      </c>
      <c r="B27" s="334">
        <v>0</v>
      </c>
    </row>
    <row r="28" spans="1:6" s="356" customFormat="1">
      <c r="A28" s="355" t="s">
        <v>18</v>
      </c>
      <c r="B28" s="355">
        <v>12109</v>
      </c>
    </row>
    <row r="29" spans="1:6">
      <c r="A29" s="355" t="s">
        <v>744</v>
      </c>
      <c r="B29" s="355">
        <v>155</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15075.3815287616</v>
      </c>
      <c r="E38" s="334">
        <v>4</v>
      </c>
      <c r="F38" s="334">
        <v>31015</v>
      </c>
    </row>
    <row r="39" spans="1:6">
      <c r="A39" s="348" t="s">
        <v>30</v>
      </c>
      <c r="B39" s="348" t="s">
        <v>31</v>
      </c>
      <c r="C39" s="334">
        <v>3575</v>
      </c>
      <c r="D39" s="334">
        <v>61804301.359597899</v>
      </c>
      <c r="E39" s="334">
        <v>5251</v>
      </c>
      <c r="F39" s="334">
        <v>21522575.433897737</v>
      </c>
    </row>
    <row r="40" spans="1:6">
      <c r="A40" s="348" t="s">
        <v>30</v>
      </c>
      <c r="B40" s="348" t="s">
        <v>29</v>
      </c>
      <c r="C40" s="334">
        <v>2</v>
      </c>
      <c r="D40" s="334">
        <v>68438.520525734799</v>
      </c>
      <c r="E40" s="334">
        <v>2</v>
      </c>
      <c r="F40" s="334">
        <v>18540</v>
      </c>
    </row>
    <row r="41" spans="1:6">
      <c r="A41" s="348" t="s">
        <v>32</v>
      </c>
      <c r="B41" s="348" t="s">
        <v>33</v>
      </c>
      <c r="C41" s="334">
        <v>44</v>
      </c>
      <c r="D41" s="334">
        <v>1227621.5481243399</v>
      </c>
      <c r="E41" s="334">
        <v>159</v>
      </c>
      <c r="F41" s="334">
        <v>2336629.1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335424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17942411.215977602</v>
      </c>
      <c r="E47" s="334">
        <v>6</v>
      </c>
      <c r="F47" s="334">
        <v>16080233</v>
      </c>
    </row>
    <row r="48" spans="1:6">
      <c r="A48" s="348" t="s">
        <v>32</v>
      </c>
      <c r="B48" s="348" t="s">
        <v>29</v>
      </c>
      <c r="C48" s="334">
        <v>32</v>
      </c>
      <c r="D48" s="334">
        <v>1550615.5479323701</v>
      </c>
      <c r="E48" s="334">
        <v>5</v>
      </c>
      <c r="F48" s="334">
        <v>25983</v>
      </c>
    </row>
    <row r="49" spans="1:6">
      <c r="A49" s="348" t="s">
        <v>32</v>
      </c>
      <c r="B49" s="348" t="s">
        <v>40</v>
      </c>
      <c r="C49" s="334">
        <v>0</v>
      </c>
      <c r="D49" s="334">
        <v>0</v>
      </c>
      <c r="E49" s="334">
        <v>4</v>
      </c>
      <c r="F49" s="334">
        <v>18380</v>
      </c>
    </row>
    <row r="50" spans="1:6">
      <c r="A50" s="348" t="s">
        <v>32</v>
      </c>
      <c r="B50" s="348" t="s">
        <v>41</v>
      </c>
      <c r="C50" s="334">
        <v>10</v>
      </c>
      <c r="D50" s="334">
        <v>519506.714149801</v>
      </c>
      <c r="E50" s="334">
        <v>17</v>
      </c>
      <c r="F50" s="334">
        <v>772101.79799999995</v>
      </c>
    </row>
    <row r="51" spans="1:6">
      <c r="A51" s="348" t="s">
        <v>42</v>
      </c>
      <c r="B51" s="348" t="s">
        <v>43</v>
      </c>
      <c r="C51" s="334">
        <v>22</v>
      </c>
      <c r="D51" s="334">
        <v>34125555.408162601</v>
      </c>
      <c r="E51" s="334">
        <v>157</v>
      </c>
      <c r="F51" s="334">
        <v>2649380.193</v>
      </c>
    </row>
    <row r="52" spans="1:6">
      <c r="A52" s="348" t="s">
        <v>42</v>
      </c>
      <c r="B52" s="348" t="s">
        <v>29</v>
      </c>
      <c r="C52" s="334">
        <v>7</v>
      </c>
      <c r="D52" s="334">
        <v>122596.165897746</v>
      </c>
      <c r="E52" s="334">
        <v>0</v>
      </c>
      <c r="F52" s="334">
        <v>0</v>
      </c>
    </row>
    <row r="53" spans="1:6">
      <c r="A53" s="348" t="s">
        <v>44</v>
      </c>
      <c r="B53" s="348" t="s">
        <v>45</v>
      </c>
      <c r="C53" s="334">
        <v>97</v>
      </c>
      <c r="D53" s="334">
        <v>1737089.34600521</v>
      </c>
      <c r="E53" s="334">
        <v>131</v>
      </c>
      <c r="F53" s="334">
        <v>621527.6</v>
      </c>
    </row>
    <row r="54" spans="1:6">
      <c r="A54" s="348" t="s">
        <v>46</v>
      </c>
      <c r="B54" s="348" t="s">
        <v>47</v>
      </c>
      <c r="C54" s="334">
        <v>0</v>
      </c>
      <c r="D54" s="334">
        <v>0</v>
      </c>
      <c r="E54" s="334">
        <v>1</v>
      </c>
      <c r="F54" s="334">
        <v>1047073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3689210.90999131</v>
      </c>
      <c r="E57" s="334">
        <v>109</v>
      </c>
      <c r="F57" s="334">
        <v>2239829.1349999998</v>
      </c>
    </row>
    <row r="58" spans="1:6">
      <c r="A58" s="348" t="s">
        <v>49</v>
      </c>
      <c r="B58" s="348" t="s">
        <v>51</v>
      </c>
      <c r="C58" s="334">
        <v>44</v>
      </c>
      <c r="D58" s="334">
        <v>1129738.0956107299</v>
      </c>
      <c r="E58" s="334">
        <v>73</v>
      </c>
      <c r="F58" s="334">
        <v>1462911.5</v>
      </c>
    </row>
    <row r="59" spans="1:6">
      <c r="A59" s="348" t="s">
        <v>49</v>
      </c>
      <c r="B59" s="348" t="s">
        <v>52</v>
      </c>
      <c r="C59" s="334">
        <v>59</v>
      </c>
      <c r="D59" s="334">
        <v>2112752.7632277198</v>
      </c>
      <c r="E59" s="334">
        <v>198</v>
      </c>
      <c r="F59" s="334">
        <v>5214362.7029999997</v>
      </c>
    </row>
    <row r="60" spans="1:6">
      <c r="A60" s="348" t="s">
        <v>49</v>
      </c>
      <c r="B60" s="348" t="s">
        <v>53</v>
      </c>
      <c r="C60" s="334">
        <v>46</v>
      </c>
      <c r="D60" s="334">
        <v>2075072.69039406</v>
      </c>
      <c r="E60" s="334">
        <v>71</v>
      </c>
      <c r="F60" s="334">
        <v>2349223.7140000002</v>
      </c>
    </row>
    <row r="61" spans="1:6">
      <c r="A61" s="348" t="s">
        <v>49</v>
      </c>
      <c r="B61" s="348" t="s">
        <v>54</v>
      </c>
      <c r="C61" s="334">
        <v>120</v>
      </c>
      <c r="D61" s="334">
        <v>4067891.2476374898</v>
      </c>
      <c r="E61" s="334">
        <v>267</v>
      </c>
      <c r="F61" s="334">
        <v>3221228.5759999999</v>
      </c>
    </row>
    <row r="62" spans="1:6">
      <c r="A62" s="348" t="s">
        <v>49</v>
      </c>
      <c r="B62" s="348" t="s">
        <v>55</v>
      </c>
      <c r="C62" s="334">
        <v>10</v>
      </c>
      <c r="D62" s="334">
        <v>1126029.9729687099</v>
      </c>
      <c r="E62" s="334">
        <v>14</v>
      </c>
      <c r="F62" s="334">
        <v>100159</v>
      </c>
    </row>
    <row r="63" spans="1:6">
      <c r="A63" s="348" t="s">
        <v>49</v>
      </c>
      <c r="B63" s="348" t="s">
        <v>29</v>
      </c>
      <c r="C63" s="334">
        <v>83</v>
      </c>
      <c r="D63" s="334">
        <v>3526230.4637348698</v>
      </c>
      <c r="E63" s="334">
        <v>0</v>
      </c>
      <c r="F63" s="334">
        <v>0</v>
      </c>
    </row>
    <row r="64" spans="1:6">
      <c r="A64" s="348" t="s">
        <v>56</v>
      </c>
      <c r="B64" s="348" t="s">
        <v>57</v>
      </c>
      <c r="C64" s="334">
        <v>0</v>
      </c>
      <c r="D64" s="334">
        <v>0</v>
      </c>
      <c r="E64" s="334">
        <v>0</v>
      </c>
      <c r="F64" s="334">
        <v>0</v>
      </c>
    </row>
    <row r="65" spans="1:6">
      <c r="A65" s="348" t="s">
        <v>56</v>
      </c>
      <c r="B65" s="348" t="s">
        <v>29</v>
      </c>
      <c r="C65" s="334">
        <v>2</v>
      </c>
      <c r="D65" s="334">
        <v>48505.811103709799</v>
      </c>
      <c r="E65" s="334">
        <v>1</v>
      </c>
      <c r="F65" s="334">
        <v>5479</v>
      </c>
    </row>
    <row r="66" spans="1:6">
      <c r="A66" s="348" t="s">
        <v>56</v>
      </c>
      <c r="B66" s="348" t="s">
        <v>58</v>
      </c>
      <c r="C66" s="334">
        <v>0</v>
      </c>
      <c r="D66" s="334">
        <v>0</v>
      </c>
      <c r="E66" s="334">
        <v>15</v>
      </c>
      <c r="F66" s="334">
        <v>841524.071</v>
      </c>
    </row>
    <row r="67" spans="1:6">
      <c r="A67" s="355" t="s">
        <v>56</v>
      </c>
      <c r="B67" s="355" t="s">
        <v>59</v>
      </c>
      <c r="C67" s="334">
        <v>0</v>
      </c>
      <c r="D67" s="334">
        <v>0</v>
      </c>
      <c r="E67" s="334">
        <v>0</v>
      </c>
      <c r="F67" s="334">
        <v>0</v>
      </c>
    </row>
    <row r="68" spans="1:6">
      <c r="A68" s="341" t="s">
        <v>56</v>
      </c>
      <c r="B68" s="341" t="s">
        <v>60</v>
      </c>
      <c r="C68" s="334">
        <v>6</v>
      </c>
      <c r="D68" s="334">
        <v>155335.96293772699</v>
      </c>
      <c r="E68" s="334">
        <v>9</v>
      </c>
      <c r="F68" s="334">
        <v>158822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71212328</v>
      </c>
      <c r="E73" s="475">
        <v>69844111.98476781</v>
      </c>
    </row>
    <row r="74" spans="1:6">
      <c r="A74" s="348" t="s">
        <v>64</v>
      </c>
      <c r="B74" s="348" t="s">
        <v>657</v>
      </c>
      <c r="C74" s="1295" t="s">
        <v>659</v>
      </c>
      <c r="D74" s="475">
        <v>3673988</v>
      </c>
      <c r="E74" s="475">
        <v>3513595.2774128243</v>
      </c>
    </row>
    <row r="75" spans="1:6">
      <c r="A75" s="348" t="s">
        <v>65</v>
      </c>
      <c r="B75" s="348" t="s">
        <v>656</v>
      </c>
      <c r="C75" s="1295" t="s">
        <v>660</v>
      </c>
      <c r="D75" s="475">
        <v>26413404</v>
      </c>
      <c r="E75" s="475">
        <v>25195887.818654768</v>
      </c>
    </row>
    <row r="76" spans="1:6">
      <c r="A76" s="348" t="s">
        <v>65</v>
      </c>
      <c r="B76" s="348" t="s">
        <v>657</v>
      </c>
      <c r="C76" s="1295" t="s">
        <v>661</v>
      </c>
      <c r="D76" s="475">
        <v>918161</v>
      </c>
      <c r="E76" s="475">
        <v>859959.29962743598</v>
      </c>
    </row>
    <row r="77" spans="1:6">
      <c r="A77" s="348" t="s">
        <v>66</v>
      </c>
      <c r="B77" s="348" t="s">
        <v>656</v>
      </c>
      <c r="C77" s="1295" t="s">
        <v>662</v>
      </c>
      <c r="D77" s="475">
        <v>173882961</v>
      </c>
      <c r="E77" s="475">
        <v>180662212.14021271</v>
      </c>
    </row>
    <row r="78" spans="1:6">
      <c r="A78" s="341" t="s">
        <v>66</v>
      </c>
      <c r="B78" s="341" t="s">
        <v>657</v>
      </c>
      <c r="C78" s="341" t="s">
        <v>663</v>
      </c>
      <c r="D78" s="1296">
        <v>27444343</v>
      </c>
      <c r="E78" s="1296">
        <v>28718792.437466864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380520</v>
      </c>
      <c r="C83" s="475">
        <v>380201.85197901743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3467.0010752548128</v>
      </c>
    </row>
    <row r="92" spans="1:6">
      <c r="A92" s="341" t="s">
        <v>69</v>
      </c>
      <c r="B92" s="342">
        <v>1697.7251241385184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0</v>
      </c>
    </row>
    <row r="131" spans="1:6">
      <c r="A131" s="348" t="s">
        <v>296</v>
      </c>
      <c r="B131" s="334">
        <v>3</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63614.125247614851</v>
      </c>
      <c r="C3" s="43" t="s">
        <v>170</v>
      </c>
      <c r="D3" s="43"/>
      <c r="E3" s="154"/>
      <c r="F3" s="43"/>
      <c r="G3" s="43"/>
      <c r="H3" s="43"/>
      <c r="I3" s="43"/>
      <c r="J3" s="43"/>
      <c r="K3" s="96"/>
    </row>
    <row r="4" spans="1:11">
      <c r="A4" s="383" t="s">
        <v>171</v>
      </c>
      <c r="B4" s="49">
        <f>IF(ISERROR('SEAP template'!B78+'SEAP template'!C78),0,'SEAP template'!B78+'SEAP template'!C78)</f>
        <v>14233.126199393331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2144.7052941176476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0.2052673998573013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3063.8647058823535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12954.857142857143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0.23650316418746939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1047.0730000000001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0.2052673998573013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214.92995217078408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21541.115433897736</v>
      </c>
      <c r="C5" s="17">
        <f>IF(ISERROR('Eigen informatie GS &amp; warmtenet'!B57),0,'Eigen informatie GS &amp; warmtenet'!B57)</f>
        <v>0</v>
      </c>
      <c r="D5" s="30">
        <f>(SUM(HH_hh_gas_kWh,HH_rest_gas_kWh)/1000)*0.902</f>
        <v>55809.211371871512</v>
      </c>
      <c r="E5" s="17">
        <f>B46*B57</f>
        <v>3946.0134552807272</v>
      </c>
      <c r="F5" s="17">
        <f>B51*B62</f>
        <v>15356.931635734089</v>
      </c>
      <c r="G5" s="18"/>
      <c r="H5" s="17"/>
      <c r="I5" s="17"/>
      <c r="J5" s="17">
        <f>B50*B61+C50*C61</f>
        <v>0</v>
      </c>
      <c r="K5" s="17"/>
      <c r="L5" s="17"/>
      <c r="M5" s="17"/>
      <c r="N5" s="17">
        <f>B48*B59+C48*C59</f>
        <v>17062.799543063295</v>
      </c>
      <c r="O5" s="17">
        <f>B69*B70*B71</f>
        <v>279.8366666666667</v>
      </c>
      <c r="P5" s="17">
        <f>B77*B78*B79/1000-B77*B78*B79/1000/B80</f>
        <v>762.66666666666674</v>
      </c>
    </row>
    <row r="6" spans="1:16">
      <c r="A6" s="16" t="s">
        <v>621</v>
      </c>
      <c r="B6" s="788">
        <f>kWh_PV_kleiner_dan_10kW</f>
        <v>3467.0010752548128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25008.116509152547</v>
      </c>
      <c r="C8" s="21">
        <f>C5</f>
        <v>0</v>
      </c>
      <c r="D8" s="21">
        <f>D5</f>
        <v>55809.211371871512</v>
      </c>
      <c r="E8" s="21">
        <f>E5</f>
        <v>3946.0134552807272</v>
      </c>
      <c r="F8" s="21">
        <f>F5</f>
        <v>15356.931635734089</v>
      </c>
      <c r="G8" s="21"/>
      <c r="H8" s="21"/>
      <c r="I8" s="21"/>
      <c r="J8" s="21">
        <f>J5</f>
        <v>0</v>
      </c>
      <c r="K8" s="21"/>
      <c r="L8" s="21">
        <f>L5</f>
        <v>0</v>
      </c>
      <c r="M8" s="21">
        <f>M5</f>
        <v>0</v>
      </c>
      <c r="N8" s="21">
        <f>N5</f>
        <v>17062.799543063295</v>
      </c>
      <c r="O8" s="21">
        <f>O5</f>
        <v>279.8366666666667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0.2052673998573013</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5133.3510511621935</v>
      </c>
      <c r="C12" s="23">
        <f ca="1">C10*C8</f>
        <v>0</v>
      </c>
      <c r="D12" s="23">
        <f>D8*D10</f>
        <v>11273.460697118046</v>
      </c>
      <c r="E12" s="23">
        <f>E10*E8</f>
        <v>895.74505434872515</v>
      </c>
      <c r="F12" s="23">
        <f>F10*F8</f>
        <v>4100.3007467410016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793</v>
      </c>
      <c r="B28" s="37">
        <f>aantalHuishoudens2011</f>
        <v>5635</v>
      </c>
      <c r="C28" s="36"/>
      <c r="D28" s="228"/>
    </row>
    <row r="29" spans="1:7" s="15" customFormat="1">
      <c r="A29" s="230" t="s">
        <v>794</v>
      </c>
      <c r="B29" s="37">
        <f>SUM(HH_hh_gas_aantal,HH_rest_gas_aantal)</f>
        <v>3577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3577</v>
      </c>
      <c r="C32" s="167">
        <f>IF(ISERROR(B32/SUM($B$32,$B$34,$B$35,$B$36,$B$38,$B$39)*100),0,B32/SUM($B$32,$B$34,$B$35,$B$36,$B$38,$B$39)*100)</f>
        <v>63.932082216264519</v>
      </c>
      <c r="D32" s="233"/>
      <c r="G32" s="15"/>
    </row>
    <row r="33" spans="1:7">
      <c r="A33" s="171" t="s">
        <v>72</v>
      </c>
      <c r="B33" s="34" t="s">
        <v>111</v>
      </c>
      <c r="C33" s="167"/>
      <c r="D33" s="233"/>
      <c r="G33" s="15"/>
    </row>
    <row r="34" spans="1:7">
      <c r="A34" s="171" t="s">
        <v>73</v>
      </c>
      <c r="B34" s="33">
        <f>IF((($B$28-$B$32-$B$39-$B$77-$B$38)*C20/100)&lt;0,0,($B$28-$B$32-$B$39-$B$77-$B$38)*C20/100)</f>
        <v>186.3662447257384</v>
      </c>
      <c r="C34" s="167">
        <f>IF(ISERROR(B34/SUM($B$32,$B$34,$B$35,$B$36,$B$38,$B$39)*100),0,B34/SUM($B$32,$B$34,$B$35,$B$36,$B$38,$B$39)*100)</f>
        <v>3.3309427118094441</v>
      </c>
      <c r="D34" s="233"/>
      <c r="G34" s="15"/>
    </row>
    <row r="35" spans="1:7">
      <c r="A35" s="171" t="s">
        <v>74</v>
      </c>
      <c r="B35" s="33">
        <f>IF((($B$28-$B$32-$B$39-$B$77-$B$38)*C21/100)&lt;0,0,($B$28-$B$32-$B$39-$B$77-$B$38)*C21/100)</f>
        <v>1001.96905766526</v>
      </c>
      <c r="C35" s="167">
        <f>IF(ISERROR(B35/SUM($B$32,$B$34,$B$35,$B$36,$B$38,$B$39)*100),0,B35/SUM($B$32,$B$34,$B$35,$B$36,$B$38,$B$39)*100)</f>
        <v>17.908294149513139</v>
      </c>
      <c r="D35" s="233"/>
      <c r="G35" s="15"/>
    </row>
    <row r="36" spans="1:7">
      <c r="A36" s="171" t="s">
        <v>75</v>
      </c>
      <c r="B36" s="33">
        <f>IF((($B$28-$B$32-$B$39-$B$77-$B$38)*C22/100)&lt;0,0,($B$28-$B$32-$B$39-$B$77-$B$38)*C22/100)</f>
        <v>236.46469760900138</v>
      </c>
      <c r="C36" s="167">
        <f>IF(ISERROR(B36/SUM($B$32,$B$34,$B$35,$B$36,$B$38,$B$39)*100),0,B36/SUM($B$32,$B$34,$B$35,$B$36,$B$38,$B$39)*100)</f>
        <v>4.2263574192851001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593.20000000000005</v>
      </c>
      <c r="C39" s="167">
        <f>IF(ISERROR(B39/SUM($B$32,$B$34,$B$35,$B$36,$B$38,$B$39)*100),0,B39/SUM($B$32,$B$34,$B$35,$B$36,$B$38,$B$39)*100)</f>
        <v>10.602323503127794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3577</v>
      </c>
      <c r="C44" s="34" t="s">
        <v>111</v>
      </c>
      <c r="D44" s="174"/>
    </row>
    <row r="45" spans="1:7">
      <c r="A45" s="171" t="s">
        <v>72</v>
      </c>
      <c r="B45" s="33" t="str">
        <f t="shared" si="0"/>
        <v>-</v>
      </c>
      <c r="C45" s="34" t="s">
        <v>111</v>
      </c>
      <c r="D45" s="174"/>
    </row>
    <row r="46" spans="1:7">
      <c r="A46" s="171" t="s">
        <v>73</v>
      </c>
      <c r="B46" s="33">
        <f t="shared" si="0"/>
        <v>186.3662447257384</v>
      </c>
      <c r="C46" s="34" t="s">
        <v>111</v>
      </c>
      <c r="D46" s="174"/>
    </row>
    <row r="47" spans="1:7">
      <c r="A47" s="171" t="s">
        <v>74</v>
      </c>
      <c r="B47" s="33">
        <f t="shared" si="0"/>
        <v>1001.96905766526</v>
      </c>
      <c r="C47" s="34" t="s">
        <v>111</v>
      </c>
      <c r="D47" s="174"/>
    </row>
    <row r="48" spans="1:7">
      <c r="A48" s="171" t="s">
        <v>75</v>
      </c>
      <c r="B48" s="33">
        <f t="shared" si="0"/>
        <v>236.46469760900138</v>
      </c>
      <c r="C48" s="33">
        <f>B48*10</f>
        <v>2364.6469760900136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593.20000000000005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14587.714628</v>
      </c>
      <c r="C5" s="17">
        <f>IF(ISERROR('Eigen informatie GS &amp; warmtenet'!B58),0,'Eigen informatie GS &amp; warmtenet'!B58)</f>
        <v>0</v>
      </c>
      <c r="D5" s="30">
        <f>SUM(D6:D12)</f>
        <v>15989.687381495531</v>
      </c>
      <c r="E5" s="17">
        <f>SUM(E6:E12)</f>
        <v>227.05760108235143</v>
      </c>
      <c r="F5" s="17">
        <f>SUM(F6:F12)</f>
        <v>2606.7971942666823</v>
      </c>
      <c r="G5" s="18"/>
      <c r="H5" s="17"/>
      <c r="I5" s="17"/>
      <c r="J5" s="17">
        <f>SUM(J6:J12)</f>
        <v>4.8617910633070707E-2</v>
      </c>
      <c r="K5" s="17"/>
      <c r="L5" s="17"/>
      <c r="M5" s="17"/>
      <c r="N5" s="17">
        <f>SUM(N6:N12)</f>
        <v>1935.8974745460496</v>
      </c>
      <c r="O5" s="17">
        <f>B38*B39*B40</f>
        <v>0</v>
      </c>
      <c r="P5" s="17">
        <f>B46*B47*B48/1000-B46*B47*B48/1000/B49</f>
        <v>57.2</v>
      </c>
      <c r="R5" s="32"/>
    </row>
    <row r="6" spans="1:18">
      <c r="A6" s="32" t="s">
        <v>54</v>
      </c>
      <c r="B6" s="37">
        <f>B26</f>
        <v>3221.228576</v>
      </c>
      <c r="C6" s="33"/>
      <c r="D6" s="37">
        <f>IF(ISERROR(TER_kantoor_gas_kWh/1000),0,TER_kantoor_gas_kWh/1000)*0.902</f>
        <v>3669.2379053690161</v>
      </c>
      <c r="E6" s="33">
        <f>$C$26*'E Balans VL '!I12/100/3.6*1000000</f>
        <v>2.0189589350528055E-2</v>
      </c>
      <c r="F6" s="33">
        <f>$C$26*('E Balans VL '!L12+'E Balans VL '!N12)/100/3.6*1000000</f>
        <v>484.06064526182183</v>
      </c>
      <c r="G6" s="34"/>
      <c r="H6" s="33"/>
      <c r="I6" s="33"/>
      <c r="J6" s="33">
        <f>$C$26*('E Balans VL '!D12+'E Balans VL '!E12)/100/3.6*1000000</f>
        <v>0</v>
      </c>
      <c r="K6" s="33"/>
      <c r="L6" s="33"/>
      <c r="M6" s="33"/>
      <c r="N6" s="33">
        <f>$C$26*'E Balans VL '!Y12/100/3.6*1000000</f>
        <v>3.080627533393844</v>
      </c>
      <c r="O6" s="33"/>
      <c r="P6" s="33"/>
      <c r="R6" s="32"/>
    </row>
    <row r="7" spans="1:18">
      <c r="A7" s="32" t="s">
        <v>53</v>
      </c>
      <c r="B7" s="37">
        <f t="shared" ref="B7:B12" si="0">B27</f>
        <v>2349.2237140000002</v>
      </c>
      <c r="C7" s="33"/>
      <c r="D7" s="37">
        <f>IF(ISERROR(TER_horeca_gas_kWh/1000),0,TER_horeca_gas_kWh/1000)*0.902</f>
        <v>1871.7155667354421</v>
      </c>
      <c r="E7" s="33">
        <f>$C$27*'E Balans VL '!I9/100/3.6*1000000</f>
        <v>33.640492278508823</v>
      </c>
      <c r="F7" s="33">
        <f>$C$27*('E Balans VL '!L9+'E Balans VL '!N9)/100/3.6*1000000</f>
        <v>297.48920257548644</v>
      </c>
      <c r="G7" s="34"/>
      <c r="H7" s="33"/>
      <c r="I7" s="33"/>
      <c r="J7" s="33">
        <f>$C$27*('E Balans VL '!D9+'E Balans VL '!E9)/100/3.6*1000000</f>
        <v>0</v>
      </c>
      <c r="K7" s="33"/>
      <c r="L7" s="33"/>
      <c r="M7" s="33"/>
      <c r="N7" s="33">
        <f>$C$27*'E Balans VL '!Y9/100/3.6*1000000</f>
        <v>0.67535002183825232</v>
      </c>
      <c r="O7" s="33"/>
      <c r="P7" s="33"/>
      <c r="R7" s="32"/>
    </row>
    <row r="8" spans="1:18">
      <c r="A8" s="6" t="s">
        <v>52</v>
      </c>
      <c r="B8" s="37">
        <f t="shared" si="0"/>
        <v>5214.3627029999998</v>
      </c>
      <c r="C8" s="33"/>
      <c r="D8" s="37">
        <f>IF(ISERROR(TER_handel_gas_kWh/1000),0,TER_handel_gas_kWh/1000)*0.902</f>
        <v>1905.7029924314031</v>
      </c>
      <c r="E8" s="33">
        <f>$C$28*'E Balans VL '!I13/100/3.6*1000000</f>
        <v>189.12429223140916</v>
      </c>
      <c r="F8" s="33">
        <f>$C$28*('E Balans VL '!L13+'E Balans VL '!N13)/100/3.6*1000000</f>
        <v>1004.3390553770096</v>
      </c>
      <c r="G8" s="34"/>
      <c r="H8" s="33"/>
      <c r="I8" s="33"/>
      <c r="J8" s="33">
        <f>$C$28*('E Balans VL '!D13+'E Balans VL '!E13)/100/3.6*1000000</f>
        <v>0</v>
      </c>
      <c r="K8" s="33"/>
      <c r="L8" s="33"/>
      <c r="M8" s="33"/>
      <c r="N8" s="33">
        <f>$C$28*'E Balans VL '!Y13/100/3.6*1000000</f>
        <v>7.2230921150047616</v>
      </c>
      <c r="O8" s="33"/>
      <c r="P8" s="33"/>
      <c r="R8" s="32"/>
    </row>
    <row r="9" spans="1:18">
      <c r="A9" s="32" t="s">
        <v>51</v>
      </c>
      <c r="B9" s="37">
        <f t="shared" si="0"/>
        <v>1462.9114999999999</v>
      </c>
      <c r="C9" s="33"/>
      <c r="D9" s="37">
        <f>IF(ISERROR(TER_gezond_gas_kWh/1000),0,TER_gezond_gas_kWh/1000)*0.902</f>
        <v>1019.0237622408785</v>
      </c>
      <c r="E9" s="33">
        <f>$C$29*'E Balans VL '!I10/100/3.6*1000000</f>
        <v>9.159270354166775E-2</v>
      </c>
      <c r="F9" s="33">
        <f>$C$29*('E Balans VL '!L10+'E Balans VL '!N10)/100/3.6*1000000</f>
        <v>217.31995746632751</v>
      </c>
      <c r="G9" s="34"/>
      <c r="H9" s="33"/>
      <c r="I9" s="33"/>
      <c r="J9" s="33">
        <f>$C$29*('E Balans VL '!D10+'E Balans VL '!E10)/100/3.6*1000000</f>
        <v>0</v>
      </c>
      <c r="K9" s="33"/>
      <c r="L9" s="33"/>
      <c r="M9" s="33"/>
      <c r="N9" s="33">
        <f>$C$29*'E Balans VL '!Y10/100/3.6*1000000</f>
        <v>22.628456240893463</v>
      </c>
      <c r="O9" s="33"/>
      <c r="P9" s="33"/>
      <c r="R9" s="32"/>
    </row>
    <row r="10" spans="1:18">
      <c r="A10" s="32" t="s">
        <v>50</v>
      </c>
      <c r="B10" s="37">
        <f t="shared" si="0"/>
        <v>2239.829135</v>
      </c>
      <c r="C10" s="33"/>
      <c r="D10" s="37">
        <f>IF(ISERROR(TER_ander_gas_kWh/1000),0,TER_ander_gas_kWh/1000)*0.902</f>
        <v>3327.6682408121619</v>
      </c>
      <c r="E10" s="33">
        <f>$C$30*'E Balans VL '!I14/100/3.6*1000000</f>
        <v>2.6697962909507558</v>
      </c>
      <c r="F10" s="33">
        <f>$C$30*('E Balans VL '!L14+'E Balans VL '!N14)/100/3.6*1000000</f>
        <v>586.03887669841015</v>
      </c>
      <c r="G10" s="34"/>
      <c r="H10" s="33"/>
      <c r="I10" s="33"/>
      <c r="J10" s="33">
        <f>$C$30*('E Balans VL '!D14+'E Balans VL '!E14)/100/3.6*1000000</f>
        <v>4.8617910633070707E-2</v>
      </c>
      <c r="K10" s="33"/>
      <c r="L10" s="33"/>
      <c r="M10" s="33"/>
      <c r="N10" s="33">
        <f>$C$30*'E Balans VL '!Y14/100/3.6*1000000</f>
        <v>1902.0080935945421</v>
      </c>
      <c r="O10" s="33"/>
      <c r="P10" s="33"/>
      <c r="R10" s="32"/>
    </row>
    <row r="11" spans="1:18">
      <c r="A11" s="32" t="s">
        <v>55</v>
      </c>
      <c r="B11" s="37">
        <f t="shared" si="0"/>
        <v>100.15900000000001</v>
      </c>
      <c r="C11" s="33"/>
      <c r="D11" s="37">
        <f>IF(ISERROR(TER_onderwijs_gas_kWh/1000),0,TER_onderwijs_gas_kWh/1000)*0.902</f>
        <v>1015.6790356177763</v>
      </c>
      <c r="E11" s="33">
        <f>$C$31*'E Balans VL '!I11/100/3.6*1000000</f>
        <v>1.5112379885904967</v>
      </c>
      <c r="F11" s="33">
        <f>$C$31*('E Balans VL '!L11+'E Balans VL '!N11)/100/3.6*1000000</f>
        <v>17.54945688762707</v>
      </c>
      <c r="G11" s="34"/>
      <c r="H11" s="33"/>
      <c r="I11" s="33"/>
      <c r="J11" s="33">
        <f>$C$31*('E Balans VL '!D11+'E Balans VL '!E11)/100/3.6*1000000</f>
        <v>0</v>
      </c>
      <c r="K11" s="33"/>
      <c r="L11" s="33"/>
      <c r="M11" s="33"/>
      <c r="N11" s="33">
        <f>$C$31*'E Balans VL '!Y11/100/3.6*1000000</f>
        <v>0.28185504037714981</v>
      </c>
      <c r="O11" s="33"/>
      <c r="P11" s="33"/>
      <c r="R11" s="32"/>
    </row>
    <row r="12" spans="1:18">
      <c r="A12" s="32" t="s">
        <v>260</v>
      </c>
      <c r="B12" s="37">
        <f t="shared" si="0"/>
        <v>0</v>
      </c>
      <c r="C12" s="33"/>
      <c r="D12" s="37">
        <f>IF(ISERROR(TER_rest_gas_kWh/1000),0,TER_rest_gas_kWh/1000)*0.902</f>
        <v>3180.6598782888527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14612.464628</v>
      </c>
      <c r="C16" s="21">
        <f t="shared" ca="1" si="1"/>
        <v>35.357142857142861</v>
      </c>
      <c r="D16" s="21">
        <f t="shared" ca="1" si="1"/>
        <v>15918.973095781244</v>
      </c>
      <c r="E16" s="21">
        <f t="shared" si="1"/>
        <v>227.05760108235143</v>
      </c>
      <c r="F16" s="21">
        <f t="shared" ca="1" si="1"/>
        <v>2606.7971942666823</v>
      </c>
      <c r="G16" s="21">
        <f t="shared" si="1"/>
        <v>0</v>
      </c>
      <c r="H16" s="21">
        <f t="shared" si="1"/>
        <v>0</v>
      </c>
      <c r="I16" s="21">
        <f t="shared" si="1"/>
        <v>0</v>
      </c>
      <c r="J16" s="21">
        <f t="shared" si="1"/>
        <v>4.8617910633070707E-2</v>
      </c>
      <c r="K16" s="21">
        <f t="shared" si="1"/>
        <v>0</v>
      </c>
      <c r="L16" s="21">
        <f t="shared" ca="1" si="1"/>
        <v>0</v>
      </c>
      <c r="M16" s="21">
        <f t="shared" si="1"/>
        <v>0</v>
      </c>
      <c r="N16" s="21">
        <f t="shared" ca="1" si="1"/>
        <v>1935.8974745460496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0.2052673998573013</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2999.4626196963472</v>
      </c>
      <c r="C20" s="23">
        <f t="shared" ref="C20:P20" ca="1" si="2">C16*C18</f>
        <v>8.3620761623426692</v>
      </c>
      <c r="D20" s="23">
        <f t="shared" ca="1" si="2"/>
        <v>3215.6325653478116</v>
      </c>
      <c r="E20" s="23">
        <f t="shared" si="2"/>
        <v>51.542075445693776</v>
      </c>
      <c r="F20" s="23">
        <f t="shared" ca="1" si="2"/>
        <v>696.01485086920422</v>
      </c>
      <c r="G20" s="23">
        <f t="shared" si="2"/>
        <v>0</v>
      </c>
      <c r="H20" s="23">
        <f t="shared" si="2"/>
        <v>0</v>
      </c>
      <c r="I20" s="23">
        <f t="shared" si="2"/>
        <v>0</v>
      </c>
      <c r="J20" s="23">
        <f t="shared" si="2"/>
        <v>1.7210740364107028E-2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3221.228576</v>
      </c>
      <c r="C26" s="39">
        <f>IF(ISERROR(B26*3.6/1000000/'E Balans VL '!Z12*100),0,B26*3.6/1000000/'E Balans VL '!Z12*100)</f>
        <v>6.8091669258393508E-2</v>
      </c>
      <c r="D26" s="237" t="s">
        <v>754</v>
      </c>
      <c r="F26" s="6"/>
    </row>
    <row r="27" spans="1:18">
      <c r="A27" s="231" t="s">
        <v>53</v>
      </c>
      <c r="B27" s="33">
        <f>IF(ISERROR(TER_horeca_ele_kWh/1000),0,TER_horeca_ele_kWh/1000)</f>
        <v>2349.2237140000002</v>
      </c>
      <c r="C27" s="39">
        <f>IF(ISERROR(B27*3.6/1000000/'E Balans VL '!Z9*100),0,B27*3.6/1000000/'E Balans VL '!Z9*100)</f>
        <v>0.1851884297742408</v>
      </c>
      <c r="D27" s="237" t="s">
        <v>754</v>
      </c>
      <c r="F27" s="6"/>
    </row>
    <row r="28" spans="1:18">
      <c r="A28" s="171" t="s">
        <v>52</v>
      </c>
      <c r="B28" s="33">
        <f>IF(ISERROR(TER_handel_ele_kWh/1000),0,TER_handel_ele_kWh/1000)</f>
        <v>5214.3627029999998</v>
      </c>
      <c r="C28" s="39">
        <f>IF(ISERROR(B28*3.6/1000000/'E Balans VL '!Z13*100),0,B28*3.6/1000000/'E Balans VL '!Z13*100)</f>
        <v>0.15134187402722141</v>
      </c>
      <c r="D28" s="237" t="s">
        <v>754</v>
      </c>
      <c r="F28" s="6"/>
    </row>
    <row r="29" spans="1:18">
      <c r="A29" s="231" t="s">
        <v>51</v>
      </c>
      <c r="B29" s="33">
        <f>IF(ISERROR(TER_gezond_ele_kWh/1000),0,TER_gezond_ele_kWh/1000)</f>
        <v>1462.9114999999999</v>
      </c>
      <c r="C29" s="39">
        <f>IF(ISERROR(B29*3.6/1000000/'E Balans VL '!Z10*100),0,B29*3.6/1000000/'E Balans VL '!Z10*100)</f>
        <v>0.15406860259090846</v>
      </c>
      <c r="D29" s="237" t="s">
        <v>754</v>
      </c>
      <c r="F29" s="6"/>
    </row>
    <row r="30" spans="1:18">
      <c r="A30" s="231" t="s">
        <v>50</v>
      </c>
      <c r="B30" s="33">
        <f>IF(ISERROR(TER_ander_ele_kWh/1000),0,TER_ander_ele_kWh/1000)</f>
        <v>2239.829135</v>
      </c>
      <c r="C30" s="39">
        <f>IF(ISERROR(B30*3.6/1000000/'E Balans VL '!Z14*100),0,B30*3.6/1000000/'E Balans VL '!Z14*100)</f>
        <v>0.16521028348606817</v>
      </c>
      <c r="D30" s="237" t="s">
        <v>754</v>
      </c>
      <c r="F30" s="6"/>
    </row>
    <row r="31" spans="1:18">
      <c r="A31" s="231" t="s">
        <v>55</v>
      </c>
      <c r="B31" s="33">
        <f>IF(ISERROR(TER_onderwijs_ele_kWh/1000),0,TER_onderwijs_ele_kWh/1000)</f>
        <v>100.15900000000001</v>
      </c>
      <c r="C31" s="39">
        <f>IF(ISERROR(B31*3.6/1000000/'E Balans VL '!Z11*100),0,B31*3.6/1000000/'E Balans VL '!Z11*100)</f>
        <v>2.4874171423865284E-2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19568.750897999998</v>
      </c>
      <c r="C5" s="17">
        <f>IF(ISERROR('Eigen informatie GS &amp; warmtenet'!B59),0,'Eigen informatie GS &amp; warmtenet'!B59)</f>
        <v>0</v>
      </c>
      <c r="D5" s="30">
        <f>SUM(D6:D15)</f>
        <v>19158.619833618071</v>
      </c>
      <c r="E5" s="17">
        <f>SUM(E6:E15)</f>
        <v>712.06290370632985</v>
      </c>
      <c r="F5" s="17">
        <f>SUM(F6:F15)</f>
        <v>2357.7832655484008</v>
      </c>
      <c r="G5" s="18"/>
      <c r="H5" s="17"/>
      <c r="I5" s="17"/>
      <c r="J5" s="17">
        <f>SUM(J6:J15)</f>
        <v>2.5799776497941012</v>
      </c>
      <c r="K5" s="17"/>
      <c r="L5" s="17"/>
      <c r="M5" s="17"/>
      <c r="N5" s="17">
        <f>SUM(N6:N15)</f>
        <v>47578.399503006687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335.42399999999998</v>
      </c>
      <c r="C8" s="33"/>
      <c r="D8" s="37">
        <f>IF( ISERROR(IND_metaal_Gas_kWH/1000),0,IND_metaal_Gas_kWH/1000)*0.902</f>
        <v>0</v>
      </c>
      <c r="E8" s="33">
        <f>C30*'E Balans VL '!I18/100/3.6*1000000</f>
        <v>3.0838997244199731</v>
      </c>
      <c r="F8" s="33">
        <f>C30*'E Balans VL '!L18/100/3.6*1000000+C30*'E Balans VL '!N18/100/3.6*1000000</f>
        <v>31.451603804625041</v>
      </c>
      <c r="G8" s="34"/>
      <c r="H8" s="33"/>
      <c r="I8" s="33"/>
      <c r="J8" s="40">
        <f>C30*'E Balans VL '!D18/100/3.6*1000000+C30*'E Balans VL '!E18/100/3.6*1000000</f>
        <v>0</v>
      </c>
      <c r="K8" s="33"/>
      <c r="L8" s="33"/>
      <c r="M8" s="33"/>
      <c r="N8" s="33">
        <f>C30*'E Balans VL '!Y18/100/3.6*1000000</f>
        <v>4.7853776715026379</v>
      </c>
      <c r="O8" s="33"/>
      <c r="P8" s="33"/>
      <c r="R8" s="32"/>
    </row>
    <row r="9" spans="1:18">
      <c r="A9" s="6" t="s">
        <v>33</v>
      </c>
      <c r="B9" s="37">
        <f t="shared" si="0"/>
        <v>2336.6291000000001</v>
      </c>
      <c r="C9" s="33"/>
      <c r="D9" s="37">
        <f>IF( ISERROR(IND_andere_gas_kWh/1000),0,IND_andere_gas_kWh/1000)*0.902</f>
        <v>1107.3146364081545</v>
      </c>
      <c r="E9" s="33">
        <f>C31*'E Balans VL '!I19/100/3.6*1000000</f>
        <v>683.04217473320364</v>
      </c>
      <c r="F9" s="33">
        <f>C31*'E Balans VL '!L19/100/3.6*1000000+C31*'E Balans VL '!N19/100/3.6*1000000</f>
        <v>1877.658348421322</v>
      </c>
      <c r="G9" s="34"/>
      <c r="H9" s="33"/>
      <c r="I9" s="33"/>
      <c r="J9" s="40">
        <f>C31*'E Balans VL '!D19/100/3.6*1000000+C31*'E Balans VL '!E19/100/3.6*1000000</f>
        <v>0</v>
      </c>
      <c r="K9" s="33"/>
      <c r="L9" s="33"/>
      <c r="M9" s="33"/>
      <c r="N9" s="33">
        <f>C31*'E Balans VL '!Y19/100/3.6*1000000</f>
        <v>772.05849318802575</v>
      </c>
      <c r="O9" s="33"/>
      <c r="P9" s="33"/>
      <c r="R9" s="32"/>
    </row>
    <row r="10" spans="1:18">
      <c r="A10" s="6" t="s">
        <v>41</v>
      </c>
      <c r="B10" s="37">
        <f t="shared" si="0"/>
        <v>772.10179799999992</v>
      </c>
      <c r="C10" s="33"/>
      <c r="D10" s="37">
        <f>IF( ISERROR(IND_voed_gas_kWh/1000),0,IND_voed_gas_kWh/1000)*0.902</f>
        <v>468.59505616312055</v>
      </c>
      <c r="E10" s="33">
        <f>C32*'E Balans VL '!I20/100/3.6*1000000</f>
        <v>1.6333933252491677</v>
      </c>
      <c r="F10" s="33">
        <f>C32*'E Balans VL '!L20/100/3.6*1000000+C32*'E Balans VL '!N20/100/3.6*1000000</f>
        <v>49.091020995699004</v>
      </c>
      <c r="G10" s="34"/>
      <c r="H10" s="33"/>
      <c r="I10" s="33"/>
      <c r="J10" s="40">
        <f>C32*'E Balans VL '!D20/100/3.6*1000000+C32*'E Balans VL '!E20/100/3.6*1000000</f>
        <v>0</v>
      </c>
      <c r="K10" s="33"/>
      <c r="L10" s="33"/>
      <c r="M10" s="33"/>
      <c r="N10" s="33">
        <f>C32*'E Balans VL '!Y20/100/3.6*1000000</f>
        <v>53.282643348716753</v>
      </c>
      <c r="O10" s="33"/>
      <c r="P10" s="33"/>
      <c r="R10" s="32"/>
    </row>
    <row r="11" spans="1:18">
      <c r="A11" s="6" t="s">
        <v>40</v>
      </c>
      <c r="B11" s="37">
        <f t="shared" si="0"/>
        <v>18.38</v>
      </c>
      <c r="C11" s="33"/>
      <c r="D11" s="37">
        <f>IF( ISERROR(IND_textiel_gas_kWh/1000),0,IND_textiel_gas_kWh/1000)*0.902</f>
        <v>0</v>
      </c>
      <c r="E11" s="33">
        <f>C33*'E Balans VL '!I21/100/3.6*1000000</f>
        <v>5.4587015339360757E-2</v>
      </c>
      <c r="F11" s="33">
        <f>C33*'E Balans VL '!L21/100/3.6*1000000+C33*'E Balans VL '!N21/100/3.6*1000000</f>
        <v>1.8568846066633453</v>
      </c>
      <c r="G11" s="34"/>
      <c r="H11" s="33"/>
      <c r="I11" s="33"/>
      <c r="J11" s="40">
        <f>C33*'E Balans VL '!D21/100/3.6*1000000+C33*'E Balans VL '!E21/100/3.6*1000000</f>
        <v>0</v>
      </c>
      <c r="K11" s="33"/>
      <c r="L11" s="33"/>
      <c r="M11" s="33"/>
      <c r="N11" s="33">
        <f>C33*'E Balans VL '!Y21/100/3.6*1000000</f>
        <v>1.0137156570911383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16080.233</v>
      </c>
      <c r="C13" s="33"/>
      <c r="D13" s="37">
        <f>IF( ISERROR(IND_papier_gas_kWh/1000),0,IND_papier_gas_kWh/1000)*0.902</f>
        <v>16184.054916811798</v>
      </c>
      <c r="E13" s="33">
        <f>C35*'E Balans VL '!I23/100/3.6*1000000</f>
        <v>22.814173106261425</v>
      </c>
      <c r="F13" s="33">
        <f>C35*'E Balans VL '!L23/100/3.6*1000000+C35*'E Balans VL '!N23/100/3.6*1000000</f>
        <v>392.57895310456223</v>
      </c>
      <c r="G13" s="34"/>
      <c r="H13" s="33"/>
      <c r="I13" s="33"/>
      <c r="J13" s="40">
        <f>C35*'E Balans VL '!D23/100/3.6*1000000+C35*'E Balans VL '!E23/100/3.6*1000000</f>
        <v>2.4869590038771574</v>
      </c>
      <c r="K13" s="33"/>
      <c r="L13" s="33"/>
      <c r="M13" s="33"/>
      <c r="N13" s="33">
        <f>C35*'E Balans VL '!Y23/100/3.6*1000000</f>
        <v>46741.430878396779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25.983000000000001</v>
      </c>
      <c r="C15" s="33"/>
      <c r="D15" s="37">
        <f>IF( ISERROR(IND_rest_gas_kWh/1000),0,IND_rest_gas_kWh/1000)*0.902</f>
        <v>1398.6552242349981</v>
      </c>
      <c r="E15" s="33">
        <f>C37*'E Balans VL '!I15/100/3.6*1000000</f>
        <v>1.4346758018562418</v>
      </c>
      <c r="F15" s="33">
        <f>C37*'E Balans VL '!L15/100/3.6*1000000+C37*'E Balans VL '!N15/100/3.6*1000000</f>
        <v>5.1464546155293389</v>
      </c>
      <c r="G15" s="34"/>
      <c r="H15" s="33"/>
      <c r="I15" s="33"/>
      <c r="J15" s="40">
        <f>C37*'E Balans VL '!D15/100/3.6*1000000+C37*'E Balans VL '!E15/100/3.6*1000000</f>
        <v>9.3018645916943768E-2</v>
      </c>
      <c r="K15" s="33"/>
      <c r="L15" s="33"/>
      <c r="M15" s="33"/>
      <c r="N15" s="33">
        <f>C37*'E Balans VL '!Y15/100/3.6*1000000</f>
        <v>5.8283947445710274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19568.750897999998</v>
      </c>
      <c r="C18" s="21">
        <f>C5+C16</f>
        <v>0</v>
      </c>
      <c r="D18" s="21">
        <f>MAX((D5+D16),0)</f>
        <v>19158.619833618071</v>
      </c>
      <c r="E18" s="21">
        <f>MAX((E5+E16),0)</f>
        <v>712.06290370632985</v>
      </c>
      <c r="F18" s="21">
        <f>MAX((F5+F16),0)</f>
        <v>2357.7832655484008</v>
      </c>
      <c r="G18" s="21"/>
      <c r="H18" s="21"/>
      <c r="I18" s="21"/>
      <c r="J18" s="21">
        <f>MAX((J5+J16),0)</f>
        <v>2.5799776497941012</v>
      </c>
      <c r="K18" s="21"/>
      <c r="L18" s="21">
        <f>MAX((L5+L16),0)</f>
        <v>0</v>
      </c>
      <c r="M18" s="21"/>
      <c r="N18" s="21">
        <f>MAX((N5+N16),0)</f>
        <v>47578.399503006687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0.2052673998573013</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4016.8266152876895</v>
      </c>
      <c r="C22" s="23">
        <f ca="1">C18*C20</f>
        <v>0</v>
      </c>
      <c r="D22" s="23">
        <f>D18*D20</f>
        <v>3870.0412063908507</v>
      </c>
      <c r="E22" s="23">
        <f>E18*E20</f>
        <v>161.63827914133688</v>
      </c>
      <c r="F22" s="23">
        <f>F18*F20</f>
        <v>629.52813190142308</v>
      </c>
      <c r="G22" s="23"/>
      <c r="H22" s="23"/>
      <c r="I22" s="23"/>
      <c r="J22" s="23">
        <f>J18*J20</f>
        <v>0.91331208802711172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335.42399999999998</v>
      </c>
      <c r="C30" s="39">
        <f>IF(ISERROR(B30*3.6/1000000/'E Balans VL '!Z18*100),0,B30*3.6/1000000/'E Balans VL '!Z18*100)</f>
        <v>1.9009338163389615E-2</v>
      </c>
      <c r="D30" s="237" t="s">
        <v>754</v>
      </c>
    </row>
    <row r="31" spans="1:18">
      <c r="A31" s="6" t="s">
        <v>33</v>
      </c>
      <c r="B31" s="37">
        <f>IF( ISERROR(IND_ander_ele_kWh/1000),0,IND_ander_ele_kWh/1000)</f>
        <v>2336.6291000000001</v>
      </c>
      <c r="C31" s="39">
        <f>IF(ISERROR(B31*3.6/1000000/'E Balans VL '!Z19*100),0,B31*3.6/1000000/'E Balans VL '!Z19*100)</f>
        <v>0.10597976642176751</v>
      </c>
      <c r="D31" s="237" t="s">
        <v>754</v>
      </c>
    </row>
    <row r="32" spans="1:18">
      <c r="A32" s="171" t="s">
        <v>41</v>
      </c>
      <c r="B32" s="37">
        <f>IF( ISERROR(IND_voed_ele_kWh/1000),0,IND_voed_ele_kWh/1000)</f>
        <v>772.10179799999992</v>
      </c>
      <c r="C32" s="39">
        <f>IF(ISERROR(B32*3.6/1000000/'E Balans VL '!Z20*100),0,B32*3.6/1000000/'E Balans VL '!Z20*100)</f>
        <v>2.3884613658352611E-2</v>
      </c>
      <c r="D32" s="237" t="s">
        <v>754</v>
      </c>
    </row>
    <row r="33" spans="1:5">
      <c r="A33" s="171" t="s">
        <v>40</v>
      </c>
      <c r="B33" s="37">
        <f>IF( ISERROR(IND_textiel_ele_kWh/1000),0,IND_textiel_ele_kWh/1000)</f>
        <v>18.38</v>
      </c>
      <c r="C33" s="39">
        <f>IF(ISERROR(B33*3.6/1000000/'E Balans VL '!Z21*100),0,B33*3.6/1000000/'E Balans VL '!Z21*100)</f>
        <v>2.3965476958968069E-3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16080.233</v>
      </c>
      <c r="C35" s="39">
        <f>IF(ISERROR(B35*3.6/1000000/'E Balans VL '!Z22*100),0,B35*3.6/1000000/'E Balans VL '!Z22*100)</f>
        <v>2.892332219208408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25.983000000000001</v>
      </c>
      <c r="C37" s="39">
        <f>IF(ISERROR(B37*3.6/1000000/'E Balans VL '!Z15*100),0,B37*3.6/1000000/'E Balans VL '!Z15*100)</f>
        <v>2.059471851588097E-4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2649.380193</v>
      </c>
      <c r="C5" s="17">
        <f>'Eigen informatie GS &amp; warmtenet'!B60</f>
        <v>0</v>
      </c>
      <c r="D5" s="30">
        <f>IF(ISERROR(SUM(LB_lb_gas_kWh,LB_rest_gas_kWh)/1000),0,SUM(LB_lb_gas_kWh,LB_rest_gas_kWh)/1000)*0.902</f>
        <v>30891.832719802438</v>
      </c>
      <c r="E5" s="17">
        <f>B17*'E Balans VL '!I25/3.6*1000000/100</f>
        <v>77.873376013386491</v>
      </c>
      <c r="F5" s="17">
        <f>B17*('E Balans VL '!L25/3.6*1000000+'E Balans VL '!N25/3.6*1000000)/100</f>
        <v>11037.174719046769</v>
      </c>
      <c r="G5" s="18"/>
      <c r="H5" s="17"/>
      <c r="I5" s="17"/>
      <c r="J5" s="17">
        <f>('E Balans VL '!D25+'E Balans VL '!E25)/3.6*1000000*landbouw!B17/100</f>
        <v>383.83829387477221</v>
      </c>
      <c r="K5" s="17"/>
      <c r="L5" s="17">
        <f>L6*(-1)</f>
        <v>0</v>
      </c>
      <c r="M5" s="17"/>
      <c r="N5" s="17">
        <f>N6*(-1)</f>
        <v>124.71428571428569</v>
      </c>
      <c r="O5" s="17"/>
      <c r="P5" s="17"/>
      <c r="R5" s="32"/>
    </row>
    <row r="6" spans="1:18">
      <c r="A6" s="16" t="s">
        <v>488</v>
      </c>
      <c r="B6" s="17" t="s">
        <v>211</v>
      </c>
      <c r="C6" s="17">
        <f>'lokale energieproductie'!O92+'lokale energieproductie'!O61</f>
        <v>12919.5</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2649.380193</v>
      </c>
      <c r="C8" s="21">
        <f>C5+C6</f>
        <v>12919.5</v>
      </c>
      <c r="D8" s="21">
        <f>MAX((D5+D6),0)</f>
        <v>5177.5470055167207</v>
      </c>
      <c r="E8" s="21">
        <f>MAX((E5+E6),0)</f>
        <v>77.873376013386491</v>
      </c>
      <c r="F8" s="21">
        <f>MAX((F5+F6),0)</f>
        <v>11037.174719046769</v>
      </c>
      <c r="G8" s="21"/>
      <c r="H8" s="21"/>
      <c r="I8" s="21"/>
      <c r="J8" s="21">
        <f>MAX((J5+J6),0)</f>
        <v>383.83829387477221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0.2052673998573013</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543.8313834505451</v>
      </c>
      <c r="C12" s="23">
        <f ca="1">C8*C10</f>
        <v>3055.5026297200106</v>
      </c>
      <c r="D12" s="23">
        <f>D8*D10</f>
        <v>1045.8644951143776</v>
      </c>
      <c r="E12" s="23">
        <f>E8*E10</f>
        <v>17.677256355038732</v>
      </c>
      <c r="F12" s="23">
        <f>F8*F10</f>
        <v>2946.9256499854873</v>
      </c>
      <c r="G12" s="23"/>
      <c r="H12" s="23"/>
      <c r="I12" s="23"/>
      <c r="J12" s="23">
        <f>J8*J10</f>
        <v>135.87875603166935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0.37595536156356002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725.06711795126091</v>
      </c>
      <c r="C26" s="247">
        <f>B26*'GWP N2O_CH4'!B5</f>
        <v>15226.40947697648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200.38081955817967</v>
      </c>
      <c r="C27" s="247">
        <f>B27*'GWP N2O_CH4'!B5</f>
        <v>4207.9972107217727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9.6336500611218625</v>
      </c>
      <c r="C28" s="247">
        <f>B28*'GWP N2O_CH4'!B4</f>
        <v>2986.4315189477775</v>
      </c>
      <c r="D28" s="50"/>
    </row>
    <row r="29" spans="1:4">
      <c r="A29" s="41" t="s">
        <v>277</v>
      </c>
      <c r="B29" s="247">
        <f>B34*'ha_N2O bodem landbouw'!B4</f>
        <v>21.715878533078751</v>
      </c>
      <c r="C29" s="247">
        <f>B29*'GWP N2O_CH4'!B4</f>
        <v>6731.9223452544129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4.9554886450019001E-3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3.8452471006430203E-4</v>
      </c>
      <c r="C5" s="463" t="s">
        <v>211</v>
      </c>
      <c r="D5" s="448">
        <f>SUM(D6:D11)</f>
        <v>1.2746576734940292E-3</v>
      </c>
      <c r="E5" s="448">
        <f>SUM(E6:E11)</f>
        <v>1.9802380691075101E-3</v>
      </c>
      <c r="F5" s="461" t="s">
        <v>211</v>
      </c>
      <c r="G5" s="448">
        <f>SUM(G6:G11)</f>
        <v>0.76164871019988356</v>
      </c>
      <c r="H5" s="448">
        <f>SUM(H6:H11)</f>
        <v>0.14809558560751648</v>
      </c>
      <c r="I5" s="463" t="s">
        <v>211</v>
      </c>
      <c r="J5" s="463" t="s">
        <v>211</v>
      </c>
      <c r="K5" s="463" t="s">
        <v>211</v>
      </c>
      <c r="L5" s="463" t="s">
        <v>211</v>
      </c>
      <c r="M5" s="448">
        <f>SUM(M6:M11)</f>
        <v>4.8868688758871709E-2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1.0085459686259097E-4</v>
      </c>
      <c r="C6" s="449"/>
      <c r="D6" s="892">
        <f>vkm_2011_GW_PW*SUMIFS(TableVerdeelsleutelVkm[CNG],TableVerdeelsleutelVkm[Voertuigtype],"Lichte voertuigen")*SUMIFS(TableECFTransport[EnergieConsumptieFactor (PJ per km)],TableECFTransport[Index],CONCATENATE($A6,"_CNG_CNG"))</f>
        <v>3.0250590531447535E-4</v>
      </c>
      <c r="E6" s="892">
        <f>vkm_2011_GW_PW*SUMIFS(TableVerdeelsleutelVkm[LPG],TableVerdeelsleutelVkm[Voertuigtype],"Lichte voertuigen")*SUMIFS(TableECFTransport[EnergieConsumptieFactor (PJ per km)],TableECFTransport[Index],CONCATENATE($A6,"_LPG_LPG"))</f>
        <v>4.1326651949141828E-4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0.10685177750877993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3.4406565934490527E-2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7.2577500330144474E-3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3.4476883739196648E-2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1.0507853589869821E-5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2.0147127673153268E-3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3.7408034353107346E-5</v>
      </c>
      <c r="C8" s="449"/>
      <c r="D8" s="451">
        <f>vkm_2011_NGW_PW*SUMIFS(TableVerdeelsleutelVkm[CNG],TableVerdeelsleutelVkm[Voertuigtype],"Lichte voertuigen")*SUMIFS(TableECFTransport[EnergieConsumptieFactor (PJ per km)],TableECFTransport[Index],CONCATENATE($A8,"_CNG_CNG"))</f>
        <v>1.99497538053619E-4</v>
      </c>
      <c r="E8" s="451">
        <f>vkm_2011_NGW_PW*SUMIFS(TableVerdeelsleutelVkm[LPG],TableVerdeelsleutelVkm[Voertuigtype],"Lichte voertuigen")*SUMIFS(TableECFTransport[EnergieConsumptieFactor (PJ per km)],TableECFTransport[Index],CONCATENATE($A8,"_LPG_LPG"))</f>
        <v>2.5240509009698313E-4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6.0815774520308764E-2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2.2050244167969413E-2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4.2035859539769861E-3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1.1047898765002596E-2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3.1699042667419652E-6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6.4559611279712181E-4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2.4626207884860372E-4</v>
      </c>
      <c r="C10" s="449"/>
      <c r="D10" s="451">
        <f>vkm_2011_SW_PW*SUMIFS(TableVerdeelsleutelVkm[CNG],TableVerdeelsleutelVkm[Voertuigtype],"Lichte voertuigen")*SUMIFS(TableECFTransport[EnergieConsumptieFactor (PJ per km)],TableECFTransport[Index],CONCATENATE($A10,"_CNG_CNG"))</f>
        <v>7.7265423012593481E-4</v>
      </c>
      <c r="E10" s="451">
        <f>vkm_2011_SW_PW*SUMIFS(TableVerdeelsleutelVkm[LPG],TableVerdeelsleutelVkm[Voertuigtype],"Lichte voertuigen")*SUMIFS(TableECFTransport[EnergieConsumptieFactor (PJ per km)],TableECFTransport[Index],CONCATENATE($A10,"_LPG_LPG"))</f>
        <v>1.3145664595191086E-3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0.30301054732921023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9.154431452149174E-2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2.0403841528544971E-2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0.24544582833738537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8.0783225708168791E-5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1.4343202363222856E-2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106.81241946230612</v>
      </c>
      <c r="C14" s="21"/>
      <c r="D14" s="21">
        <f t="shared" ref="D14:M14" si="0">((D5)*10^9/3600)+D12</f>
        <v>354.07157597056369</v>
      </c>
      <c r="E14" s="21">
        <f t="shared" si="0"/>
        <v>550.06613030764174</v>
      </c>
      <c r="F14" s="21"/>
      <c r="G14" s="21">
        <f t="shared" si="0"/>
        <v>211569.08616663434</v>
      </c>
      <c r="H14" s="21">
        <f t="shared" si="0"/>
        <v>41137.662668754579</v>
      </c>
      <c r="I14" s="21"/>
      <c r="J14" s="21"/>
      <c r="K14" s="21"/>
      <c r="L14" s="21"/>
      <c r="M14" s="21">
        <f t="shared" si="0"/>
        <v>13574.635766353253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0.2052673998573013</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21.925107615494984</v>
      </c>
      <c r="C18" s="23"/>
      <c r="D18" s="23">
        <f t="shared" ref="D18:M18" si="1">D14*D16</f>
        <v>71.522458346053867</v>
      </c>
      <c r="E18" s="23">
        <f t="shared" si="1"/>
        <v>124.86501157983469</v>
      </c>
      <c r="F18" s="23"/>
      <c r="G18" s="23">
        <f t="shared" si="1"/>
        <v>56488.946006491373</v>
      </c>
      <c r="H18" s="23">
        <f t="shared" si="1"/>
        <v>10243.278004519891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4.7793908804530461E-3</v>
      </c>
      <c r="H50" s="321">
        <f t="shared" si="2"/>
        <v>0</v>
      </c>
      <c r="I50" s="321">
        <f t="shared" si="2"/>
        <v>0</v>
      </c>
      <c r="J50" s="321">
        <f t="shared" si="2"/>
        <v>0</v>
      </c>
      <c r="K50" s="321">
        <f t="shared" si="2"/>
        <v>0</v>
      </c>
      <c r="L50" s="321">
        <f t="shared" si="2"/>
        <v>0</v>
      </c>
      <c r="M50" s="321">
        <f t="shared" si="2"/>
        <v>2.7144830302361958E-4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4.7793908804530461E-3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2.7144830302361958E-4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1327.6085779036241</v>
      </c>
      <c r="H54" s="21">
        <f t="shared" si="3"/>
        <v>0</v>
      </c>
      <c r="I54" s="21">
        <f t="shared" si="3"/>
        <v>0</v>
      </c>
      <c r="J54" s="21">
        <f t="shared" si="3"/>
        <v>0</v>
      </c>
      <c r="K54" s="21">
        <f t="shared" si="3"/>
        <v>0</v>
      </c>
      <c r="L54" s="21">
        <f t="shared" si="3"/>
        <v>0</v>
      </c>
      <c r="M54" s="21">
        <f t="shared" si="3"/>
        <v>75.402306395449884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0.2052673998573013</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354.47149030026765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15659.537628</v>
      </c>
      <c r="D10" s="1013">
        <f ca="1">tertiair!C16</f>
        <v>35.357142857142861</v>
      </c>
      <c r="E10" s="1013">
        <f ca="1">tertiair!D16</f>
        <v>15918.973095781244</v>
      </c>
      <c r="F10" s="1013">
        <f>tertiair!E16</f>
        <v>227.05760108235143</v>
      </c>
      <c r="G10" s="1013">
        <f ca="1">tertiair!F16</f>
        <v>2606.7971942666823</v>
      </c>
      <c r="H10" s="1013">
        <f>tertiair!G16</f>
        <v>0</v>
      </c>
      <c r="I10" s="1013">
        <f>tertiair!H16</f>
        <v>0</v>
      </c>
      <c r="J10" s="1013">
        <f>tertiair!I16</f>
        <v>0</v>
      </c>
      <c r="K10" s="1013">
        <f>tertiair!J16</f>
        <v>4.8617910633070707E-2</v>
      </c>
      <c r="L10" s="1013">
        <f>tertiair!K16</f>
        <v>0</v>
      </c>
      <c r="M10" s="1013">
        <f ca="1">tertiair!L16</f>
        <v>0</v>
      </c>
      <c r="N10" s="1013">
        <f>tertiair!M16</f>
        <v>0</v>
      </c>
      <c r="O10" s="1013">
        <f ca="1">tertiair!N16</f>
        <v>1935.8974745460496</v>
      </c>
      <c r="P10" s="1013">
        <f>tertiair!O16</f>
        <v>0</v>
      </c>
      <c r="Q10" s="1014">
        <f>tertiair!P16</f>
        <v>57.2</v>
      </c>
      <c r="R10" s="700">
        <f ca="1">SUM(C10:Q10)</f>
        <v>36440.868754444098</v>
      </c>
      <c r="S10" s="67"/>
    </row>
    <row r="11" spans="1:19" s="473" customFormat="1">
      <c r="A11" s="809" t="s">
        <v>225</v>
      </c>
      <c r="B11" s="814"/>
      <c r="C11" s="1013">
        <f>huishoudens!B8</f>
        <v>25008.116509152547</v>
      </c>
      <c r="D11" s="1013">
        <f>huishoudens!C8</f>
        <v>0</v>
      </c>
      <c r="E11" s="1013">
        <f>huishoudens!D8</f>
        <v>55809.211371871512</v>
      </c>
      <c r="F11" s="1013">
        <f>huishoudens!E8</f>
        <v>3946.0134552807272</v>
      </c>
      <c r="G11" s="1013">
        <f>huishoudens!F8</f>
        <v>15356.931635734089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17062.799543063295</v>
      </c>
      <c r="P11" s="1013">
        <f>huishoudens!O8</f>
        <v>279.8366666666667</v>
      </c>
      <c r="Q11" s="1014">
        <f>huishoudens!P8</f>
        <v>762.66666666666674</v>
      </c>
      <c r="R11" s="700">
        <f>SUM(C11:Q11)</f>
        <v>118225.5758484355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19568.750897999998</v>
      </c>
      <c r="D13" s="1013">
        <f>industrie!C18</f>
        <v>0</v>
      </c>
      <c r="E13" s="1013">
        <f>industrie!D18</f>
        <v>19158.619833618071</v>
      </c>
      <c r="F13" s="1013">
        <f>industrie!E18</f>
        <v>712.06290370632985</v>
      </c>
      <c r="G13" s="1013">
        <f>industrie!F18</f>
        <v>2357.7832655484008</v>
      </c>
      <c r="H13" s="1013">
        <f>industrie!G18</f>
        <v>0</v>
      </c>
      <c r="I13" s="1013">
        <f>industrie!H18</f>
        <v>0</v>
      </c>
      <c r="J13" s="1013">
        <f>industrie!I18</f>
        <v>0</v>
      </c>
      <c r="K13" s="1013">
        <f>industrie!J18</f>
        <v>2.5799776497941012</v>
      </c>
      <c r="L13" s="1013">
        <f>industrie!K18</f>
        <v>0</v>
      </c>
      <c r="M13" s="1013">
        <f>industrie!L18</f>
        <v>0</v>
      </c>
      <c r="N13" s="1013">
        <f>industrie!M18</f>
        <v>0</v>
      </c>
      <c r="O13" s="1013">
        <f>industrie!N18</f>
        <v>47578.399503006687</v>
      </c>
      <c r="P13" s="1013">
        <f>industrie!O18</f>
        <v>0</v>
      </c>
      <c r="Q13" s="1014">
        <f>industrie!P18</f>
        <v>0</v>
      </c>
      <c r="R13" s="700">
        <f>SUM(C13:Q13)</f>
        <v>89378.196381529269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60236.405035152544</v>
      </c>
      <c r="D16" s="732">
        <f t="shared" ref="D16:R16" ca="1" si="0">SUM(D9:D15)</f>
        <v>35.357142857142861</v>
      </c>
      <c r="E16" s="732">
        <f t="shared" ca="1" si="0"/>
        <v>90886.804301270822</v>
      </c>
      <c r="F16" s="732">
        <f t="shared" si="0"/>
        <v>4885.1339600694082</v>
      </c>
      <c r="G16" s="732">
        <f t="shared" ca="1" si="0"/>
        <v>20321.512095549173</v>
      </c>
      <c r="H16" s="732">
        <f t="shared" si="0"/>
        <v>0</v>
      </c>
      <c r="I16" s="732">
        <f t="shared" si="0"/>
        <v>0</v>
      </c>
      <c r="J16" s="732">
        <f t="shared" si="0"/>
        <v>0</v>
      </c>
      <c r="K16" s="732">
        <f t="shared" si="0"/>
        <v>2.628595560427172</v>
      </c>
      <c r="L16" s="732">
        <f t="shared" si="0"/>
        <v>0</v>
      </c>
      <c r="M16" s="732">
        <f t="shared" ca="1" si="0"/>
        <v>0</v>
      </c>
      <c r="N16" s="732">
        <f t="shared" si="0"/>
        <v>0</v>
      </c>
      <c r="O16" s="732">
        <f t="shared" ca="1" si="0"/>
        <v>66577.096520616033</v>
      </c>
      <c r="P16" s="732">
        <f t="shared" si="0"/>
        <v>279.8366666666667</v>
      </c>
      <c r="Q16" s="732">
        <f t="shared" si="0"/>
        <v>819.86666666666679</v>
      </c>
      <c r="R16" s="732">
        <f t="shared" ca="1" si="0"/>
        <v>244044.64098440888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1327.6085779036241</v>
      </c>
      <c r="I19" s="1013">
        <f>transport!H54</f>
        <v>0</v>
      </c>
      <c r="J19" s="1013">
        <f>transport!I54</f>
        <v>0</v>
      </c>
      <c r="K19" s="1013">
        <f>transport!J54</f>
        <v>0</v>
      </c>
      <c r="L19" s="1013">
        <f>transport!K54</f>
        <v>0</v>
      </c>
      <c r="M19" s="1013">
        <f>transport!L54</f>
        <v>0</v>
      </c>
      <c r="N19" s="1013">
        <f>transport!M54</f>
        <v>75.402306395449884</v>
      </c>
      <c r="O19" s="1013">
        <f>transport!N54</f>
        <v>0</v>
      </c>
      <c r="P19" s="1013">
        <f>transport!O54</f>
        <v>0</v>
      </c>
      <c r="Q19" s="1014">
        <f>transport!P54</f>
        <v>0</v>
      </c>
      <c r="R19" s="700">
        <f>SUM(C19:Q19)</f>
        <v>1403.010884299074</v>
      </c>
      <c r="S19" s="67"/>
    </row>
    <row r="20" spans="1:19" s="473" customFormat="1">
      <c r="A20" s="809" t="s">
        <v>307</v>
      </c>
      <c r="B20" s="814"/>
      <c r="C20" s="1013">
        <f>transport!B14</f>
        <v>106.81241946230612</v>
      </c>
      <c r="D20" s="1013">
        <f>transport!C14</f>
        <v>0</v>
      </c>
      <c r="E20" s="1013">
        <f>transport!D14</f>
        <v>354.07157597056369</v>
      </c>
      <c r="F20" s="1013">
        <f>transport!E14</f>
        <v>550.06613030764174</v>
      </c>
      <c r="G20" s="1013">
        <f>transport!F14</f>
        <v>0</v>
      </c>
      <c r="H20" s="1013">
        <f>transport!G14</f>
        <v>211569.08616663434</v>
      </c>
      <c r="I20" s="1013">
        <f>transport!H14</f>
        <v>41137.662668754579</v>
      </c>
      <c r="J20" s="1013">
        <f>transport!I14</f>
        <v>0</v>
      </c>
      <c r="K20" s="1013">
        <f>transport!J14</f>
        <v>0</v>
      </c>
      <c r="L20" s="1013">
        <f>transport!K14</f>
        <v>0</v>
      </c>
      <c r="M20" s="1013">
        <f>transport!L14</f>
        <v>0</v>
      </c>
      <c r="N20" s="1013">
        <f>transport!M14</f>
        <v>13574.635766353253</v>
      </c>
      <c r="O20" s="1013">
        <f>transport!N14</f>
        <v>0</v>
      </c>
      <c r="P20" s="1013">
        <f>transport!O14</f>
        <v>0</v>
      </c>
      <c r="Q20" s="1014">
        <f>transport!P14</f>
        <v>0</v>
      </c>
      <c r="R20" s="700">
        <f>SUM(C20:Q20)</f>
        <v>267292.3347274827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106.81241946230612</v>
      </c>
      <c r="D22" s="812">
        <f t="shared" ref="D22:R22" si="1">SUM(D18:D21)</f>
        <v>0</v>
      </c>
      <c r="E22" s="812">
        <f t="shared" si="1"/>
        <v>354.07157597056369</v>
      </c>
      <c r="F22" s="812">
        <f t="shared" si="1"/>
        <v>550.06613030764174</v>
      </c>
      <c r="G22" s="812">
        <f t="shared" si="1"/>
        <v>0</v>
      </c>
      <c r="H22" s="812">
        <f t="shared" si="1"/>
        <v>212896.69474453796</v>
      </c>
      <c r="I22" s="812">
        <f t="shared" si="1"/>
        <v>41137.662668754579</v>
      </c>
      <c r="J22" s="812">
        <f t="shared" si="1"/>
        <v>0</v>
      </c>
      <c r="K22" s="812">
        <f t="shared" si="1"/>
        <v>0</v>
      </c>
      <c r="L22" s="812">
        <f t="shared" si="1"/>
        <v>0</v>
      </c>
      <c r="M22" s="812">
        <f t="shared" si="1"/>
        <v>0</v>
      </c>
      <c r="N22" s="812">
        <f t="shared" si="1"/>
        <v>13650.038072748703</v>
      </c>
      <c r="O22" s="812">
        <f t="shared" si="1"/>
        <v>0</v>
      </c>
      <c r="P22" s="812">
        <f t="shared" si="1"/>
        <v>0</v>
      </c>
      <c r="Q22" s="812">
        <f t="shared" si="1"/>
        <v>0</v>
      </c>
      <c r="R22" s="812">
        <f t="shared" si="1"/>
        <v>268695.34561178175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2649.380193</v>
      </c>
      <c r="D24" s="1013">
        <f>+landbouw!C8</f>
        <v>12919.5</v>
      </c>
      <c r="E24" s="1013">
        <f>+landbouw!D8</f>
        <v>5177.5470055167207</v>
      </c>
      <c r="F24" s="1013">
        <f>+landbouw!E8</f>
        <v>77.873376013386491</v>
      </c>
      <c r="G24" s="1013">
        <f>+landbouw!F8</f>
        <v>11037.174719046769</v>
      </c>
      <c r="H24" s="1013">
        <f>+landbouw!G8</f>
        <v>0</v>
      </c>
      <c r="I24" s="1013">
        <f>+landbouw!H8</f>
        <v>0</v>
      </c>
      <c r="J24" s="1013">
        <f>+landbouw!I8</f>
        <v>0</v>
      </c>
      <c r="K24" s="1013">
        <f>+landbouw!J8</f>
        <v>383.83829387477221</v>
      </c>
      <c r="L24" s="1013">
        <f>+landbouw!K8</f>
        <v>0</v>
      </c>
      <c r="M24" s="1013">
        <f>+landbouw!L8</f>
        <v>0</v>
      </c>
      <c r="N24" s="1013">
        <f>+landbouw!M8</f>
        <v>0</v>
      </c>
      <c r="O24" s="1013">
        <f>+landbouw!N8</f>
        <v>0</v>
      </c>
      <c r="P24" s="1013">
        <f>+landbouw!O8</f>
        <v>0</v>
      </c>
      <c r="Q24" s="1014">
        <f>+landbouw!P8</f>
        <v>0</v>
      </c>
      <c r="R24" s="700">
        <f>SUM(C24:Q24)</f>
        <v>32245.313587451648</v>
      </c>
      <c r="S24" s="67"/>
    </row>
    <row r="25" spans="1:19" s="473" customFormat="1" ht="15" thickBot="1">
      <c r="A25" s="831" t="s">
        <v>836</v>
      </c>
      <c r="B25" s="1016"/>
      <c r="C25" s="1017">
        <f>IF(Onbekend_ele_kWh="---",0,Onbekend_ele_kWh)/1000+IF(REST_rest_ele_kWh="---",0,REST_rest_ele_kWh)/1000</f>
        <v>621.52760000000001</v>
      </c>
      <c r="D25" s="1017"/>
      <c r="E25" s="1017">
        <f>IF(onbekend_gas_kWh="---",0,onbekend_gas_kWh)/1000+IF(REST_rest_gas_kWh="---",0,REST_rest_gas_kWh)/1000</f>
        <v>1737.08934600521</v>
      </c>
      <c r="F25" s="1017"/>
      <c r="G25" s="1017"/>
      <c r="H25" s="1017"/>
      <c r="I25" s="1017"/>
      <c r="J25" s="1017"/>
      <c r="K25" s="1017"/>
      <c r="L25" s="1017"/>
      <c r="M25" s="1017"/>
      <c r="N25" s="1017"/>
      <c r="O25" s="1017"/>
      <c r="P25" s="1017"/>
      <c r="Q25" s="1018"/>
      <c r="R25" s="700">
        <f>SUM(C25:Q25)</f>
        <v>2358.6169460052101</v>
      </c>
      <c r="S25" s="67"/>
    </row>
    <row r="26" spans="1:19" s="473" customFormat="1" ht="15.75" thickBot="1">
      <c r="A26" s="705" t="s">
        <v>837</v>
      </c>
      <c r="B26" s="817"/>
      <c r="C26" s="812">
        <f>SUM(C24:C25)</f>
        <v>3270.9077929999999</v>
      </c>
      <c r="D26" s="812">
        <f t="shared" ref="D26:R26" si="2">SUM(D24:D25)</f>
        <v>12919.5</v>
      </c>
      <c r="E26" s="812">
        <f t="shared" si="2"/>
        <v>6914.6363515219309</v>
      </c>
      <c r="F26" s="812">
        <f t="shared" si="2"/>
        <v>77.873376013386491</v>
      </c>
      <c r="G26" s="812">
        <f t="shared" si="2"/>
        <v>11037.174719046769</v>
      </c>
      <c r="H26" s="812">
        <f t="shared" si="2"/>
        <v>0</v>
      </c>
      <c r="I26" s="812">
        <f t="shared" si="2"/>
        <v>0</v>
      </c>
      <c r="J26" s="812">
        <f t="shared" si="2"/>
        <v>0</v>
      </c>
      <c r="K26" s="812">
        <f t="shared" si="2"/>
        <v>383.83829387477221</v>
      </c>
      <c r="L26" s="812">
        <f t="shared" si="2"/>
        <v>0</v>
      </c>
      <c r="M26" s="812">
        <f t="shared" si="2"/>
        <v>0</v>
      </c>
      <c r="N26" s="812">
        <f t="shared" si="2"/>
        <v>0</v>
      </c>
      <c r="O26" s="812">
        <f t="shared" si="2"/>
        <v>0</v>
      </c>
      <c r="P26" s="812">
        <f t="shared" si="2"/>
        <v>0</v>
      </c>
      <c r="Q26" s="812">
        <f t="shared" si="2"/>
        <v>0</v>
      </c>
      <c r="R26" s="812">
        <f t="shared" si="2"/>
        <v>34603.930533456856</v>
      </c>
      <c r="S26" s="67"/>
    </row>
    <row r="27" spans="1:19" s="473" customFormat="1" ht="17.25" thickTop="1" thickBot="1">
      <c r="A27" s="706" t="s">
        <v>116</v>
      </c>
      <c r="B27" s="805"/>
      <c r="C27" s="707">
        <f ca="1">C22+C16+C26</f>
        <v>63614.125247614851</v>
      </c>
      <c r="D27" s="707">
        <f t="shared" ref="D27:R27" ca="1" si="3">D22+D16+D26</f>
        <v>12954.857142857143</v>
      </c>
      <c r="E27" s="707">
        <f t="shared" ca="1" si="3"/>
        <v>98155.512228763313</v>
      </c>
      <c r="F27" s="707">
        <f t="shared" si="3"/>
        <v>5513.0734663904359</v>
      </c>
      <c r="G27" s="707">
        <f t="shared" ca="1" si="3"/>
        <v>31358.686814595942</v>
      </c>
      <c r="H27" s="707">
        <f t="shared" si="3"/>
        <v>212896.69474453796</v>
      </c>
      <c r="I27" s="707">
        <f t="shared" si="3"/>
        <v>41137.662668754579</v>
      </c>
      <c r="J27" s="707">
        <f t="shared" si="3"/>
        <v>0</v>
      </c>
      <c r="K27" s="707">
        <f t="shared" si="3"/>
        <v>386.46688943519939</v>
      </c>
      <c r="L27" s="707">
        <f t="shared" si="3"/>
        <v>0</v>
      </c>
      <c r="M27" s="707">
        <f t="shared" ca="1" si="3"/>
        <v>0</v>
      </c>
      <c r="N27" s="707">
        <f t="shared" si="3"/>
        <v>13650.038072748703</v>
      </c>
      <c r="O27" s="707">
        <f t="shared" ca="1" si="3"/>
        <v>66577.096520616033</v>
      </c>
      <c r="P27" s="707">
        <f t="shared" si="3"/>
        <v>279.8366666666667</v>
      </c>
      <c r="Q27" s="707">
        <f t="shared" si="3"/>
        <v>819.86666666666679</v>
      </c>
      <c r="R27" s="707">
        <f t="shared" ca="1" si="3"/>
        <v>547343.91712964745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3214.3925718671312</v>
      </c>
      <c r="D40" s="1013">
        <f ca="1">tertiair!C20</f>
        <v>8.3620761623426692</v>
      </c>
      <c r="E40" s="1013">
        <f ca="1">tertiair!D20</f>
        <v>3215.6325653478116</v>
      </c>
      <c r="F40" s="1013">
        <f>tertiair!E20</f>
        <v>51.542075445693776</v>
      </c>
      <c r="G40" s="1013">
        <f ca="1">tertiair!F20</f>
        <v>696.01485086920422</v>
      </c>
      <c r="H40" s="1013">
        <f>tertiair!G20</f>
        <v>0</v>
      </c>
      <c r="I40" s="1013">
        <f>tertiair!H20</f>
        <v>0</v>
      </c>
      <c r="J40" s="1013">
        <f>tertiair!I20</f>
        <v>0</v>
      </c>
      <c r="K40" s="1013">
        <f>tertiair!J20</f>
        <v>1.7210740364107028E-2</v>
      </c>
      <c r="L40" s="1013">
        <f>tertiair!K20</f>
        <v>0</v>
      </c>
      <c r="M40" s="1013">
        <f ca="1">tertiair!L20</f>
        <v>0</v>
      </c>
      <c r="N40" s="1013">
        <f>tertiair!M20</f>
        <v>0</v>
      </c>
      <c r="O40" s="1013">
        <f ca="1">tertiair!N20</f>
        <v>0</v>
      </c>
      <c r="P40" s="1013">
        <f>tertiair!O20</f>
        <v>0</v>
      </c>
      <c r="Q40" s="774">
        <f>tertiair!P20</f>
        <v>0</v>
      </c>
      <c r="R40" s="850">
        <f t="shared" ca="1" si="4"/>
        <v>7185.961350432548</v>
      </c>
    </row>
    <row r="41" spans="1:18">
      <c r="A41" s="822" t="s">
        <v>225</v>
      </c>
      <c r="B41" s="829"/>
      <c r="C41" s="1013">
        <f ca="1">huishoudens!B12</f>
        <v>5133.3510511621935</v>
      </c>
      <c r="D41" s="1013">
        <f ca="1">huishoudens!C12</f>
        <v>0</v>
      </c>
      <c r="E41" s="1013">
        <f>huishoudens!D12</f>
        <v>11273.460697118046</v>
      </c>
      <c r="F41" s="1013">
        <f>huishoudens!E12</f>
        <v>895.74505434872515</v>
      </c>
      <c r="G41" s="1013">
        <f>huishoudens!F12</f>
        <v>4100.3007467410016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21402.857549369968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4016.8266152876895</v>
      </c>
      <c r="D43" s="1013">
        <f ca="1">industrie!C22</f>
        <v>0</v>
      </c>
      <c r="E43" s="1013">
        <f>industrie!D22</f>
        <v>3870.0412063908507</v>
      </c>
      <c r="F43" s="1013">
        <f>industrie!E22</f>
        <v>161.63827914133688</v>
      </c>
      <c r="G43" s="1013">
        <f>industrie!F22</f>
        <v>629.52813190142308</v>
      </c>
      <c r="H43" s="1013">
        <f>industrie!G22</f>
        <v>0</v>
      </c>
      <c r="I43" s="1013">
        <f>industrie!H22</f>
        <v>0</v>
      </c>
      <c r="J43" s="1013">
        <f>industrie!I22</f>
        <v>0</v>
      </c>
      <c r="K43" s="1013">
        <f>industrie!J22</f>
        <v>0.91331208802711172</v>
      </c>
      <c r="L43" s="1013">
        <f>industrie!K22</f>
        <v>0</v>
      </c>
      <c r="M43" s="1013">
        <f>industrie!L22</f>
        <v>0</v>
      </c>
      <c r="N43" s="1013">
        <f>industrie!M22</f>
        <v>0</v>
      </c>
      <c r="O43" s="1013">
        <f>industrie!N22</f>
        <v>0</v>
      </c>
      <c r="P43" s="1013">
        <f>industrie!O22</f>
        <v>0</v>
      </c>
      <c r="Q43" s="774">
        <f>industrie!P22</f>
        <v>0</v>
      </c>
      <c r="R43" s="849">
        <f t="shared" ca="1" si="4"/>
        <v>8678.9475448093272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12364.570238317014</v>
      </c>
      <c r="D46" s="732">
        <f t="shared" ref="D46:Q46" ca="1" si="5">SUM(D39:D45)</f>
        <v>8.3620761623426692</v>
      </c>
      <c r="E46" s="732">
        <f t="shared" ca="1" si="5"/>
        <v>18359.134468856708</v>
      </c>
      <c r="F46" s="732">
        <f t="shared" si="5"/>
        <v>1108.9254089357557</v>
      </c>
      <c r="G46" s="732">
        <f t="shared" ca="1" si="5"/>
        <v>5425.8437295116291</v>
      </c>
      <c r="H46" s="732">
        <f t="shared" si="5"/>
        <v>0</v>
      </c>
      <c r="I46" s="732">
        <f t="shared" si="5"/>
        <v>0</v>
      </c>
      <c r="J46" s="732">
        <f t="shared" si="5"/>
        <v>0</v>
      </c>
      <c r="K46" s="732">
        <f t="shared" si="5"/>
        <v>0.9305228283912188</v>
      </c>
      <c r="L46" s="732">
        <f t="shared" si="5"/>
        <v>0</v>
      </c>
      <c r="M46" s="732">
        <f t="shared" ca="1" si="5"/>
        <v>0</v>
      </c>
      <c r="N46" s="732">
        <f t="shared" si="5"/>
        <v>0</v>
      </c>
      <c r="O46" s="732">
        <f t="shared" ca="1" si="5"/>
        <v>0</v>
      </c>
      <c r="P46" s="732">
        <f t="shared" si="5"/>
        <v>0</v>
      </c>
      <c r="Q46" s="732">
        <f t="shared" si="5"/>
        <v>0</v>
      </c>
      <c r="R46" s="732">
        <f ca="1">SUM(R39:R45)</f>
        <v>37267.766444611843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354.47149030026765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354.47149030026765</v>
      </c>
    </row>
    <row r="50" spans="1:18">
      <c r="A50" s="825" t="s">
        <v>307</v>
      </c>
      <c r="B50" s="835"/>
      <c r="C50" s="703">
        <f ca="1">transport!B18</f>
        <v>21.925107615494984</v>
      </c>
      <c r="D50" s="703">
        <f>transport!C18</f>
        <v>0</v>
      </c>
      <c r="E50" s="703">
        <f>transport!D18</f>
        <v>71.522458346053867</v>
      </c>
      <c r="F50" s="703">
        <f>transport!E18</f>
        <v>124.86501157983469</v>
      </c>
      <c r="G50" s="703">
        <f>transport!F18</f>
        <v>0</v>
      </c>
      <c r="H50" s="703">
        <f>transport!G18</f>
        <v>56488.946006491373</v>
      </c>
      <c r="I50" s="703">
        <f>transport!H18</f>
        <v>10243.278004519891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66950.536588552655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21.925107615494984</v>
      </c>
      <c r="D52" s="732">
        <f t="shared" ref="D52:Q52" ca="1" si="6">SUM(D48:D51)</f>
        <v>0</v>
      </c>
      <c r="E52" s="732">
        <f t="shared" si="6"/>
        <v>71.522458346053867</v>
      </c>
      <c r="F52" s="732">
        <f t="shared" si="6"/>
        <v>124.86501157983469</v>
      </c>
      <c r="G52" s="732">
        <f t="shared" si="6"/>
        <v>0</v>
      </c>
      <c r="H52" s="732">
        <f t="shared" si="6"/>
        <v>56843.417496791641</v>
      </c>
      <c r="I52" s="732">
        <f t="shared" si="6"/>
        <v>10243.278004519891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67305.008078852916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543.8313834505451</v>
      </c>
      <c r="D54" s="703">
        <f ca="1">+landbouw!C12</f>
        <v>3055.5026297200106</v>
      </c>
      <c r="E54" s="703">
        <f>+landbouw!D12</f>
        <v>1045.8644951143776</v>
      </c>
      <c r="F54" s="703">
        <f>+landbouw!E12</f>
        <v>17.677256355038732</v>
      </c>
      <c r="G54" s="703">
        <f>+landbouw!F12</f>
        <v>2946.9256499854873</v>
      </c>
      <c r="H54" s="703">
        <f>+landbouw!G12</f>
        <v>0</v>
      </c>
      <c r="I54" s="703">
        <f>+landbouw!H12</f>
        <v>0</v>
      </c>
      <c r="J54" s="703">
        <f>+landbouw!I12</f>
        <v>0</v>
      </c>
      <c r="K54" s="703">
        <f>+landbouw!J12</f>
        <v>135.87875603166935</v>
      </c>
      <c r="L54" s="703">
        <f>+landbouw!K12</f>
        <v>0</v>
      </c>
      <c r="M54" s="703">
        <f>+landbouw!L12</f>
        <v>0</v>
      </c>
      <c r="N54" s="703">
        <f>+landbouw!M12</f>
        <v>0</v>
      </c>
      <c r="O54" s="703">
        <f>+landbouw!N12</f>
        <v>0</v>
      </c>
      <c r="P54" s="703">
        <f>+landbouw!O12</f>
        <v>0</v>
      </c>
      <c r="Q54" s="704">
        <f>+landbouw!P12</f>
        <v>0</v>
      </c>
      <c r="R54" s="731">
        <f ca="1">SUM(C54:Q54)</f>
        <v>7745.6801706571287</v>
      </c>
    </row>
    <row r="55" spans="1:18" ht="15" thickBot="1">
      <c r="A55" s="825" t="s">
        <v>836</v>
      </c>
      <c r="B55" s="835"/>
      <c r="C55" s="703">
        <f ca="1">C25*'EF ele_warmte'!B12</f>
        <v>127.57935439154882</v>
      </c>
      <c r="D55" s="703"/>
      <c r="E55" s="703">
        <f>E25*EF_CO2_aardgas</f>
        <v>350.89204789305245</v>
      </c>
      <c r="F55" s="703"/>
      <c r="G55" s="703"/>
      <c r="H55" s="703"/>
      <c r="I55" s="703"/>
      <c r="J55" s="703"/>
      <c r="K55" s="703"/>
      <c r="L55" s="703"/>
      <c r="M55" s="703"/>
      <c r="N55" s="703"/>
      <c r="O55" s="703"/>
      <c r="P55" s="703"/>
      <c r="Q55" s="704"/>
      <c r="R55" s="731">
        <f ca="1">SUM(C55:Q55)</f>
        <v>478.47140228460125</v>
      </c>
    </row>
    <row r="56" spans="1:18" ht="15.75" thickBot="1">
      <c r="A56" s="823" t="s">
        <v>837</v>
      </c>
      <c r="B56" s="836"/>
      <c r="C56" s="732">
        <f ca="1">SUM(C54:C55)</f>
        <v>671.41073784209391</v>
      </c>
      <c r="D56" s="732">
        <f t="shared" ref="D56:Q56" ca="1" si="7">SUM(D54:D55)</f>
        <v>3055.5026297200106</v>
      </c>
      <c r="E56" s="732">
        <f t="shared" si="7"/>
        <v>1396.7565430074301</v>
      </c>
      <c r="F56" s="732">
        <f t="shared" si="7"/>
        <v>17.677256355038732</v>
      </c>
      <c r="G56" s="732">
        <f t="shared" si="7"/>
        <v>2946.9256499854873</v>
      </c>
      <c r="H56" s="732">
        <f t="shared" si="7"/>
        <v>0</v>
      </c>
      <c r="I56" s="732">
        <f t="shared" si="7"/>
        <v>0</v>
      </c>
      <c r="J56" s="732">
        <f t="shared" si="7"/>
        <v>0</v>
      </c>
      <c r="K56" s="732">
        <f t="shared" si="7"/>
        <v>135.87875603166935</v>
      </c>
      <c r="L56" s="732">
        <f t="shared" si="7"/>
        <v>0</v>
      </c>
      <c r="M56" s="732">
        <f t="shared" si="7"/>
        <v>0</v>
      </c>
      <c r="N56" s="732">
        <f t="shared" si="7"/>
        <v>0</v>
      </c>
      <c r="O56" s="732">
        <f t="shared" si="7"/>
        <v>0</v>
      </c>
      <c r="P56" s="732">
        <f t="shared" si="7"/>
        <v>0</v>
      </c>
      <c r="Q56" s="733">
        <f t="shared" si="7"/>
        <v>0</v>
      </c>
      <c r="R56" s="734">
        <f ca="1">SUM(R54:R55)</f>
        <v>8224.1515729417297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13057.906083774602</v>
      </c>
      <c r="D61" s="740">
        <f t="shared" ref="D61:Q61" ca="1" si="8">D46+D52+D56</f>
        <v>3063.8647058823535</v>
      </c>
      <c r="E61" s="740">
        <f t="shared" ca="1" si="8"/>
        <v>19827.413470210195</v>
      </c>
      <c r="F61" s="740">
        <f t="shared" si="8"/>
        <v>1251.4676768706292</v>
      </c>
      <c r="G61" s="740">
        <f t="shared" ca="1" si="8"/>
        <v>8372.7693794971165</v>
      </c>
      <c r="H61" s="740">
        <f t="shared" si="8"/>
        <v>56843.417496791641</v>
      </c>
      <c r="I61" s="740">
        <f t="shared" si="8"/>
        <v>10243.278004519891</v>
      </c>
      <c r="J61" s="740">
        <f t="shared" si="8"/>
        <v>0</v>
      </c>
      <c r="K61" s="740">
        <f t="shared" si="8"/>
        <v>136.80927886006057</v>
      </c>
      <c r="L61" s="740">
        <f t="shared" si="8"/>
        <v>0</v>
      </c>
      <c r="M61" s="740">
        <f t="shared" ca="1" si="8"/>
        <v>0</v>
      </c>
      <c r="N61" s="740">
        <f t="shared" si="8"/>
        <v>0</v>
      </c>
      <c r="O61" s="740">
        <f t="shared" ca="1" si="8"/>
        <v>0</v>
      </c>
      <c r="P61" s="740">
        <f t="shared" si="8"/>
        <v>0</v>
      </c>
      <c r="Q61" s="740">
        <f t="shared" si="8"/>
        <v>0</v>
      </c>
      <c r="R61" s="740">
        <f ca="1">R46+R52+R56</f>
        <v>112796.92609640649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0.20526739985730127</v>
      </c>
      <c r="D63" s="781">
        <f t="shared" ca="1" si="9"/>
        <v>0.23650316418746939</v>
      </c>
      <c r="E63" s="1024">
        <f t="shared" ca="1" si="9"/>
        <v>0.20200000000000007</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5164.7261993933316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9024.75</v>
      </c>
      <c r="D76" s="1034">
        <f>'lokale energieproductie'!C8</f>
        <v>10617.352941176472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2144.7052941176476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5208.3761993933313</v>
      </c>
      <c r="C78" s="755">
        <f>SUM(C72:C77)</f>
        <v>9024.75</v>
      </c>
      <c r="D78" s="756">
        <f t="shared" ref="D78:H78" si="10">SUM(D76:D77)</f>
        <v>10617.352941176472</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2144.7052941176476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62.357142857142833</v>
      </c>
      <c r="C87" s="766">
        <f>'lokale energieproductie'!B17*IFERROR(SUM(D87:H87)/SUM(D87:O87),0)</f>
        <v>12892.5</v>
      </c>
      <c r="D87" s="777">
        <f>'lokale energieproductie'!C17</f>
        <v>15167.647058823532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3063.8647058823535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62.357142857142833</v>
      </c>
      <c r="C90" s="755">
        <f>SUM(C87:C89)</f>
        <v>12892.5</v>
      </c>
      <c r="D90" s="755">
        <f t="shared" ref="D90:H90" si="12">SUM(D87:D89)</f>
        <v>15167.647058823532</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3063.8647058823535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5164.7261993933316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9068.4</v>
      </c>
      <c r="C8" s="570">
        <f>B101</f>
        <v>10617.352941176472</v>
      </c>
      <c r="D8" s="1044"/>
      <c r="E8" s="1044">
        <f>E101</f>
        <v>0</v>
      </c>
      <c r="F8" s="1045"/>
      <c r="G8" s="571"/>
      <c r="H8" s="1044">
        <f>I101</f>
        <v>0</v>
      </c>
      <c r="I8" s="1044">
        <f>G101+F101</f>
        <v>0</v>
      </c>
      <c r="J8" s="1044">
        <f>H101+D101+C101</f>
        <v>51.35294117647058</v>
      </c>
      <c r="K8" s="1044"/>
      <c r="L8" s="1044"/>
      <c r="M8" s="1044"/>
      <c r="N8" s="572"/>
      <c r="O8" s="573">
        <f>C8*$C$12+D8*$D$12+E8*$E$12+F8*$F$12+G8*$G$12+H8*$H$12+I8*$I$12+J8*$J$12</f>
        <v>2144.7052941176476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14233.126199393331</v>
      </c>
      <c r="C10" s="583">
        <f t="shared" ref="C10:L10" si="0">SUM(C8:C9)</f>
        <v>10617.352941176472</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2144.7052941176476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12954.857142857143</v>
      </c>
      <c r="C17" s="595">
        <f>B102</f>
        <v>15167.647058823532</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3063.8647058823535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12954.857142857143</v>
      </c>
      <c r="C20" s="582">
        <f>SUM(C17:C19)</f>
        <v>15167.647058823532</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3063.8647058823535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31012</v>
      </c>
      <c r="C28" s="796">
        <v>8490</v>
      </c>
      <c r="D28" s="653" t="s">
        <v>881</v>
      </c>
      <c r="E28" s="652" t="s">
        <v>882</v>
      </c>
      <c r="F28" s="652" t="s">
        <v>883</v>
      </c>
      <c r="G28" s="652" t="s">
        <v>884</v>
      </c>
      <c r="H28" s="652" t="s">
        <v>885</v>
      </c>
      <c r="I28" s="652" t="s">
        <v>882</v>
      </c>
      <c r="J28" s="795">
        <v>39995</v>
      </c>
      <c r="K28" s="795">
        <v>39995</v>
      </c>
      <c r="L28" s="652" t="s">
        <v>886</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63.75">
      <c r="A29" s="605"/>
      <c r="B29" s="796">
        <v>31012</v>
      </c>
      <c r="C29" s="796">
        <v>8490</v>
      </c>
      <c r="D29" s="653" t="s">
        <v>887</v>
      </c>
      <c r="E29" s="652" t="s">
        <v>888</v>
      </c>
      <c r="F29" s="652" t="s">
        <v>889</v>
      </c>
      <c r="G29" s="652" t="s">
        <v>884</v>
      </c>
      <c r="H29" s="652" t="s">
        <v>885</v>
      </c>
      <c r="I29" s="652" t="s">
        <v>888</v>
      </c>
      <c r="J29" s="795">
        <v>40477</v>
      </c>
      <c r="K29" s="795">
        <v>40513</v>
      </c>
      <c r="L29" s="652" t="s">
        <v>886</v>
      </c>
      <c r="M29" s="652">
        <v>5.5</v>
      </c>
      <c r="N29" s="652">
        <v>24.75</v>
      </c>
      <c r="O29" s="652">
        <v>35.357142857142861</v>
      </c>
      <c r="P29" s="652">
        <v>70.714285714285722</v>
      </c>
      <c r="Q29" s="652">
        <v>0</v>
      </c>
      <c r="R29" s="652">
        <v>0</v>
      </c>
      <c r="S29" s="652">
        <v>0</v>
      </c>
      <c r="T29" s="652">
        <v>0</v>
      </c>
      <c r="U29" s="652">
        <v>0</v>
      </c>
      <c r="V29" s="652">
        <v>0</v>
      </c>
      <c r="W29" s="652">
        <v>0</v>
      </c>
      <c r="X29" s="652">
        <v>1600</v>
      </c>
      <c r="Y29" s="652" t="s">
        <v>50</v>
      </c>
      <c r="Z29" s="654" t="s">
        <v>156</v>
      </c>
    </row>
    <row r="30" spans="1:26" s="606" customFormat="1" ht="25.5">
      <c r="A30" s="605"/>
      <c r="B30" s="796">
        <v>31012</v>
      </c>
      <c r="C30" s="796">
        <v>8490</v>
      </c>
      <c r="D30" s="653" t="s">
        <v>890</v>
      </c>
      <c r="E30" s="652" t="s">
        <v>891</v>
      </c>
      <c r="F30" s="652" t="s">
        <v>892</v>
      </c>
      <c r="G30" s="652" t="s">
        <v>884</v>
      </c>
      <c r="H30" s="652" t="s">
        <v>885</v>
      </c>
      <c r="I30" s="652" t="s">
        <v>893</v>
      </c>
      <c r="J30" s="795">
        <v>41257</v>
      </c>
      <c r="K30" s="795">
        <v>41275</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2015.2</v>
      </c>
      <c r="N58" s="610">
        <f>SUM(N28:N57)</f>
        <v>9068.4</v>
      </c>
      <c r="O58" s="610">
        <f t="shared" ref="O58:W58" si="2">SUM(O28:O57)</f>
        <v>12954.857142857143</v>
      </c>
      <c r="P58" s="610">
        <f t="shared" si="2"/>
        <v>25785.000000000004</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2009.7</v>
      </c>
      <c r="N61" s="615">
        <f t="shared" si="4"/>
        <v>9043.65</v>
      </c>
      <c r="O61" s="615">
        <f t="shared" si="4"/>
        <v>12919.5</v>
      </c>
      <c r="P61" s="615">
        <f t="shared" si="4"/>
        <v>25714.285714285717</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10617.352941176472</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15167.647058823532</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25008.116509152547</v>
      </c>
      <c r="C4" s="477">
        <f>huishoudens!C8</f>
        <v>0</v>
      </c>
      <c r="D4" s="477">
        <f>huishoudens!D8</f>
        <v>55809.211371871512</v>
      </c>
      <c r="E4" s="477">
        <f>huishoudens!E8</f>
        <v>3946.0134552807272</v>
      </c>
      <c r="F4" s="477">
        <f>huishoudens!F8</f>
        <v>15356.931635734089</v>
      </c>
      <c r="G4" s="477">
        <f>huishoudens!G8</f>
        <v>0</v>
      </c>
      <c r="H4" s="477">
        <f>huishoudens!H8</f>
        <v>0</v>
      </c>
      <c r="I4" s="477">
        <f>huishoudens!I8</f>
        <v>0</v>
      </c>
      <c r="J4" s="477">
        <f>huishoudens!J8</f>
        <v>0</v>
      </c>
      <c r="K4" s="477">
        <f>huishoudens!K8</f>
        <v>0</v>
      </c>
      <c r="L4" s="477">
        <f>huishoudens!L8</f>
        <v>0</v>
      </c>
      <c r="M4" s="477">
        <f>huishoudens!M8</f>
        <v>0</v>
      </c>
      <c r="N4" s="477">
        <f>huishoudens!N8</f>
        <v>17062.799543063295</v>
      </c>
      <c r="O4" s="477">
        <f>huishoudens!O8</f>
        <v>279.8366666666667</v>
      </c>
      <c r="P4" s="478">
        <f>huishoudens!P8</f>
        <v>762.66666666666674</v>
      </c>
      <c r="Q4" s="479">
        <f>SUM(B4:P4)</f>
        <v>118225.5758484355</v>
      </c>
    </row>
    <row r="5" spans="1:17">
      <c r="A5" s="476" t="s">
        <v>156</v>
      </c>
      <c r="B5" s="477">
        <f ca="1">tertiair!B16</f>
        <v>14612.464628</v>
      </c>
      <c r="C5" s="477">
        <f ca="1">tertiair!C16</f>
        <v>35.357142857142861</v>
      </c>
      <c r="D5" s="477">
        <f ca="1">tertiair!D16</f>
        <v>15918.973095781244</v>
      </c>
      <c r="E5" s="477">
        <f>tertiair!E16</f>
        <v>227.05760108235143</v>
      </c>
      <c r="F5" s="477">
        <f ca="1">tertiair!F16</f>
        <v>2606.7971942666823</v>
      </c>
      <c r="G5" s="477">
        <f>tertiair!G16</f>
        <v>0</v>
      </c>
      <c r="H5" s="477">
        <f>tertiair!H16</f>
        <v>0</v>
      </c>
      <c r="I5" s="477">
        <f>tertiair!I16</f>
        <v>0</v>
      </c>
      <c r="J5" s="477">
        <f>tertiair!J16</f>
        <v>4.8617910633070707E-2</v>
      </c>
      <c r="K5" s="477">
        <f>tertiair!K16</f>
        <v>0</v>
      </c>
      <c r="L5" s="477">
        <f ca="1">tertiair!L16</f>
        <v>0</v>
      </c>
      <c r="M5" s="477">
        <f>tertiair!M16</f>
        <v>0</v>
      </c>
      <c r="N5" s="477">
        <f ca="1">tertiair!N16</f>
        <v>1935.8974745460496</v>
      </c>
      <c r="O5" s="477">
        <f>tertiair!O16</f>
        <v>0</v>
      </c>
      <c r="P5" s="478">
        <f>tertiair!P16</f>
        <v>57.2</v>
      </c>
      <c r="Q5" s="476">
        <f t="shared" ref="Q5:Q14" ca="1" si="0">SUM(B5:P5)</f>
        <v>35393.795754444101</v>
      </c>
    </row>
    <row r="6" spans="1:17">
      <c r="A6" s="476" t="s">
        <v>194</v>
      </c>
      <c r="B6" s="477">
        <f>'openbare verlichting'!B8</f>
        <v>1047.0730000000001</v>
      </c>
      <c r="C6" s="477"/>
      <c r="D6" s="477"/>
      <c r="E6" s="477"/>
      <c r="F6" s="477"/>
      <c r="G6" s="477"/>
      <c r="H6" s="477"/>
      <c r="I6" s="477"/>
      <c r="J6" s="477"/>
      <c r="K6" s="477"/>
      <c r="L6" s="477"/>
      <c r="M6" s="477"/>
      <c r="N6" s="477"/>
      <c r="O6" s="477"/>
      <c r="P6" s="478"/>
      <c r="Q6" s="476">
        <f t="shared" si="0"/>
        <v>1047.0730000000001</v>
      </c>
    </row>
    <row r="7" spans="1:17">
      <c r="A7" s="476" t="s">
        <v>112</v>
      </c>
      <c r="B7" s="477">
        <f>landbouw!B8</f>
        <v>2649.380193</v>
      </c>
      <c r="C7" s="477">
        <f>landbouw!C8</f>
        <v>12919.5</v>
      </c>
      <c r="D7" s="477">
        <f>landbouw!D8</f>
        <v>5177.5470055167207</v>
      </c>
      <c r="E7" s="477">
        <f>landbouw!E8</f>
        <v>77.873376013386491</v>
      </c>
      <c r="F7" s="477">
        <f>landbouw!F8</f>
        <v>11037.174719046769</v>
      </c>
      <c r="G7" s="477">
        <f>landbouw!G8</f>
        <v>0</v>
      </c>
      <c r="H7" s="477">
        <f>landbouw!H8</f>
        <v>0</v>
      </c>
      <c r="I7" s="477">
        <f>landbouw!I8</f>
        <v>0</v>
      </c>
      <c r="J7" s="477">
        <f>landbouw!J8</f>
        <v>383.83829387477221</v>
      </c>
      <c r="K7" s="477">
        <f>landbouw!K8</f>
        <v>0</v>
      </c>
      <c r="L7" s="477">
        <f>landbouw!L8</f>
        <v>0</v>
      </c>
      <c r="M7" s="477">
        <f>landbouw!M8</f>
        <v>0</v>
      </c>
      <c r="N7" s="477">
        <f>landbouw!N8</f>
        <v>0</v>
      </c>
      <c r="O7" s="477">
        <f>landbouw!O8</f>
        <v>0</v>
      </c>
      <c r="P7" s="478">
        <f>landbouw!P8</f>
        <v>0</v>
      </c>
      <c r="Q7" s="476">
        <f t="shared" si="0"/>
        <v>32245.313587451648</v>
      </c>
    </row>
    <row r="8" spans="1:17">
      <c r="A8" s="476" t="s">
        <v>635</v>
      </c>
      <c r="B8" s="477">
        <f>industrie!B18</f>
        <v>19568.750897999998</v>
      </c>
      <c r="C8" s="477">
        <f>industrie!C18</f>
        <v>0</v>
      </c>
      <c r="D8" s="477">
        <f>industrie!D18</f>
        <v>19158.619833618071</v>
      </c>
      <c r="E8" s="477">
        <f>industrie!E18</f>
        <v>712.06290370632985</v>
      </c>
      <c r="F8" s="477">
        <f>industrie!F18</f>
        <v>2357.7832655484008</v>
      </c>
      <c r="G8" s="477">
        <f>industrie!G18</f>
        <v>0</v>
      </c>
      <c r="H8" s="477">
        <f>industrie!H18</f>
        <v>0</v>
      </c>
      <c r="I8" s="477">
        <f>industrie!I18</f>
        <v>0</v>
      </c>
      <c r="J8" s="477">
        <f>industrie!J18</f>
        <v>2.5799776497941012</v>
      </c>
      <c r="K8" s="477">
        <f>industrie!K18</f>
        <v>0</v>
      </c>
      <c r="L8" s="477">
        <f>industrie!L18</f>
        <v>0</v>
      </c>
      <c r="M8" s="477">
        <f>industrie!M18</f>
        <v>0</v>
      </c>
      <c r="N8" s="477">
        <f>industrie!N18</f>
        <v>47578.399503006687</v>
      </c>
      <c r="O8" s="477">
        <f>industrie!O18</f>
        <v>0</v>
      </c>
      <c r="P8" s="478">
        <f>industrie!P18</f>
        <v>0</v>
      </c>
      <c r="Q8" s="476">
        <f t="shared" si="0"/>
        <v>89378.196381529269</v>
      </c>
    </row>
    <row r="9" spans="1:17" s="482" customFormat="1">
      <c r="A9" s="480" t="s">
        <v>561</v>
      </c>
      <c r="B9" s="481">
        <f>transport!B14</f>
        <v>106.81241946230612</v>
      </c>
      <c r="C9" s="481">
        <f>transport!C14</f>
        <v>0</v>
      </c>
      <c r="D9" s="481">
        <f>transport!D14</f>
        <v>354.07157597056369</v>
      </c>
      <c r="E9" s="481">
        <f>transport!E14</f>
        <v>550.06613030764174</v>
      </c>
      <c r="F9" s="481">
        <f>transport!F14</f>
        <v>0</v>
      </c>
      <c r="G9" s="481">
        <f>transport!G14</f>
        <v>211569.08616663434</v>
      </c>
      <c r="H9" s="481">
        <f>transport!H14</f>
        <v>41137.662668754579</v>
      </c>
      <c r="I9" s="481">
        <f>transport!I14</f>
        <v>0</v>
      </c>
      <c r="J9" s="481">
        <f>transport!J14</f>
        <v>0</v>
      </c>
      <c r="K9" s="481">
        <f>transport!K14</f>
        <v>0</v>
      </c>
      <c r="L9" s="481">
        <f>transport!L14</f>
        <v>0</v>
      </c>
      <c r="M9" s="481">
        <f>transport!M14</f>
        <v>13574.635766353253</v>
      </c>
      <c r="N9" s="481">
        <f>transport!N14</f>
        <v>0</v>
      </c>
      <c r="O9" s="481">
        <f>transport!O14</f>
        <v>0</v>
      </c>
      <c r="P9" s="481">
        <f>transport!P14</f>
        <v>0</v>
      </c>
      <c r="Q9" s="480">
        <f>SUM(B9:P9)</f>
        <v>267292.3347274827</v>
      </c>
    </row>
    <row r="10" spans="1:17">
      <c r="A10" s="476" t="s">
        <v>551</v>
      </c>
      <c r="B10" s="477">
        <f>transport!B54</f>
        <v>0</v>
      </c>
      <c r="C10" s="477">
        <f>transport!C54</f>
        <v>0</v>
      </c>
      <c r="D10" s="477">
        <f>transport!D54</f>
        <v>0</v>
      </c>
      <c r="E10" s="477">
        <f>transport!E54</f>
        <v>0</v>
      </c>
      <c r="F10" s="477">
        <f>transport!F54</f>
        <v>0</v>
      </c>
      <c r="G10" s="477">
        <f>transport!G54</f>
        <v>1327.6085779036241</v>
      </c>
      <c r="H10" s="477">
        <f>transport!H54</f>
        <v>0</v>
      </c>
      <c r="I10" s="477">
        <f>transport!I54</f>
        <v>0</v>
      </c>
      <c r="J10" s="477">
        <f>transport!J54</f>
        <v>0</v>
      </c>
      <c r="K10" s="477">
        <f>transport!K54</f>
        <v>0</v>
      </c>
      <c r="L10" s="477">
        <f>transport!L54</f>
        <v>0</v>
      </c>
      <c r="M10" s="477">
        <f>transport!M54</f>
        <v>75.402306395449884</v>
      </c>
      <c r="N10" s="477">
        <f>transport!N54</f>
        <v>0</v>
      </c>
      <c r="O10" s="477">
        <f>transport!O54</f>
        <v>0</v>
      </c>
      <c r="P10" s="478">
        <f>transport!P54</f>
        <v>0</v>
      </c>
      <c r="Q10" s="476">
        <f t="shared" si="0"/>
        <v>1403.010884299074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621.52760000000001</v>
      </c>
      <c r="C14" s="484"/>
      <c r="D14" s="484">
        <f>'SEAP template'!E25</f>
        <v>1737.08934600521</v>
      </c>
      <c r="E14" s="484"/>
      <c r="F14" s="484"/>
      <c r="G14" s="484"/>
      <c r="H14" s="484"/>
      <c r="I14" s="484"/>
      <c r="J14" s="484"/>
      <c r="K14" s="484"/>
      <c r="L14" s="484"/>
      <c r="M14" s="484"/>
      <c r="N14" s="484"/>
      <c r="O14" s="484"/>
      <c r="P14" s="485"/>
      <c r="Q14" s="476">
        <f t="shared" si="0"/>
        <v>2358.6169460052101</v>
      </c>
    </row>
    <row r="15" spans="1:17" s="486" customFormat="1">
      <c r="A15" s="1039" t="s">
        <v>555</v>
      </c>
      <c r="B15" s="987">
        <f ca="1">SUM(B4:B14)</f>
        <v>63614.125247614851</v>
      </c>
      <c r="C15" s="987">
        <f t="shared" ref="C15:Q15" ca="1" si="1">SUM(C4:C14)</f>
        <v>12954.857142857143</v>
      </c>
      <c r="D15" s="987">
        <f t="shared" ca="1" si="1"/>
        <v>98155.512228763313</v>
      </c>
      <c r="E15" s="987">
        <f t="shared" si="1"/>
        <v>5513.0734663904368</v>
      </c>
      <c r="F15" s="987">
        <f t="shared" ca="1" si="1"/>
        <v>31358.686814595942</v>
      </c>
      <c r="G15" s="987">
        <f t="shared" si="1"/>
        <v>212896.69474453796</v>
      </c>
      <c r="H15" s="987">
        <f t="shared" si="1"/>
        <v>41137.662668754579</v>
      </c>
      <c r="I15" s="987">
        <f t="shared" si="1"/>
        <v>0</v>
      </c>
      <c r="J15" s="987">
        <f t="shared" si="1"/>
        <v>386.46688943519939</v>
      </c>
      <c r="K15" s="987">
        <f t="shared" si="1"/>
        <v>0</v>
      </c>
      <c r="L15" s="987">
        <f t="shared" ca="1" si="1"/>
        <v>0</v>
      </c>
      <c r="M15" s="987">
        <f t="shared" si="1"/>
        <v>13650.038072748703</v>
      </c>
      <c r="N15" s="987">
        <f t="shared" ca="1" si="1"/>
        <v>66577.096520616033</v>
      </c>
      <c r="O15" s="987">
        <f t="shared" si="1"/>
        <v>279.8366666666667</v>
      </c>
      <c r="P15" s="987">
        <f t="shared" si="1"/>
        <v>819.86666666666679</v>
      </c>
      <c r="Q15" s="987">
        <f t="shared" ca="1" si="1"/>
        <v>547343.91712964757</v>
      </c>
    </row>
    <row r="17" spans="1:17">
      <c r="A17" s="487" t="s">
        <v>556</v>
      </c>
      <c r="B17" s="786">
        <f ca="1">huishoudens!B10</f>
        <v>0.2052673998573013</v>
      </c>
      <c r="C17" s="786">
        <f ca="1">huishoudens!C10</f>
        <v>0.23650316418746939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5133.3510511621935</v>
      </c>
      <c r="C22" s="477">
        <f t="shared" ref="C22:C32" ca="1" si="3">C4*$C$17</f>
        <v>0</v>
      </c>
      <c r="D22" s="477">
        <f t="shared" ref="D22:D32" si="4">D4*$D$17</f>
        <v>11273.460697118046</v>
      </c>
      <c r="E22" s="477">
        <f t="shared" ref="E22:E32" si="5">E4*$E$17</f>
        <v>895.74505434872515</v>
      </c>
      <c r="F22" s="477">
        <f t="shared" ref="F22:F32" si="6">F4*$F$17</f>
        <v>4100.3007467410016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21402.857549369968</v>
      </c>
    </row>
    <row r="23" spans="1:17">
      <c r="A23" s="476" t="s">
        <v>156</v>
      </c>
      <c r="B23" s="477">
        <f t="shared" ca="1" si="2"/>
        <v>2999.4626196963472</v>
      </c>
      <c r="C23" s="477">
        <f t="shared" ca="1" si="3"/>
        <v>8.3620761623426692</v>
      </c>
      <c r="D23" s="477">
        <f t="shared" ca="1" si="4"/>
        <v>3215.6325653478116</v>
      </c>
      <c r="E23" s="477">
        <f t="shared" si="5"/>
        <v>51.542075445693776</v>
      </c>
      <c r="F23" s="477">
        <f t="shared" ca="1" si="6"/>
        <v>696.01485086920422</v>
      </c>
      <c r="G23" s="477">
        <f t="shared" si="7"/>
        <v>0</v>
      </c>
      <c r="H23" s="477">
        <f t="shared" si="8"/>
        <v>0</v>
      </c>
      <c r="I23" s="477">
        <f t="shared" si="9"/>
        <v>0</v>
      </c>
      <c r="J23" s="477">
        <f t="shared" si="10"/>
        <v>1.7210740364107028E-2</v>
      </c>
      <c r="K23" s="477">
        <f t="shared" si="11"/>
        <v>0</v>
      </c>
      <c r="L23" s="477">
        <f t="shared" ca="1" si="12"/>
        <v>0</v>
      </c>
      <c r="M23" s="477">
        <f t="shared" si="13"/>
        <v>0</v>
      </c>
      <c r="N23" s="477">
        <f t="shared" ca="1" si="14"/>
        <v>0</v>
      </c>
      <c r="O23" s="477">
        <f t="shared" si="15"/>
        <v>0</v>
      </c>
      <c r="P23" s="478">
        <f t="shared" si="16"/>
        <v>0</v>
      </c>
      <c r="Q23" s="476">
        <f t="shared" ref="Q23:Q32" ca="1" si="17">SUM(B23:P23)</f>
        <v>6971.0313982617645</v>
      </c>
    </row>
    <row r="24" spans="1:17">
      <c r="A24" s="476" t="s">
        <v>194</v>
      </c>
      <c r="B24" s="477">
        <f t="shared" ca="1" si="2"/>
        <v>214.92995217078408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214.92995217078408</v>
      </c>
    </row>
    <row r="25" spans="1:17">
      <c r="A25" s="476" t="s">
        <v>112</v>
      </c>
      <c r="B25" s="477">
        <f t="shared" ca="1" si="2"/>
        <v>543.8313834505451</v>
      </c>
      <c r="C25" s="477">
        <f t="shared" ca="1" si="3"/>
        <v>3055.5026297200106</v>
      </c>
      <c r="D25" s="477">
        <f t="shared" si="4"/>
        <v>1045.8644951143776</v>
      </c>
      <c r="E25" s="477">
        <f t="shared" si="5"/>
        <v>17.677256355038732</v>
      </c>
      <c r="F25" s="477">
        <f t="shared" si="6"/>
        <v>2946.9256499854873</v>
      </c>
      <c r="G25" s="477">
        <f t="shared" si="7"/>
        <v>0</v>
      </c>
      <c r="H25" s="477">
        <f t="shared" si="8"/>
        <v>0</v>
      </c>
      <c r="I25" s="477">
        <f t="shared" si="9"/>
        <v>0</v>
      </c>
      <c r="J25" s="477">
        <f t="shared" si="10"/>
        <v>135.87875603166935</v>
      </c>
      <c r="K25" s="477">
        <f t="shared" si="11"/>
        <v>0</v>
      </c>
      <c r="L25" s="477">
        <f t="shared" si="12"/>
        <v>0</v>
      </c>
      <c r="M25" s="477">
        <f t="shared" si="13"/>
        <v>0</v>
      </c>
      <c r="N25" s="477">
        <f t="shared" si="14"/>
        <v>0</v>
      </c>
      <c r="O25" s="477">
        <f t="shared" si="15"/>
        <v>0</v>
      </c>
      <c r="P25" s="478">
        <f t="shared" si="16"/>
        <v>0</v>
      </c>
      <c r="Q25" s="476">
        <f t="shared" ca="1" si="17"/>
        <v>7745.6801706571287</v>
      </c>
    </row>
    <row r="26" spans="1:17">
      <c r="A26" s="476" t="s">
        <v>635</v>
      </c>
      <c r="B26" s="477">
        <f t="shared" ca="1" si="2"/>
        <v>4016.8266152876895</v>
      </c>
      <c r="C26" s="477">
        <f t="shared" ca="1" si="3"/>
        <v>0</v>
      </c>
      <c r="D26" s="477">
        <f t="shared" si="4"/>
        <v>3870.0412063908507</v>
      </c>
      <c r="E26" s="477">
        <f t="shared" si="5"/>
        <v>161.63827914133688</v>
      </c>
      <c r="F26" s="477">
        <f t="shared" si="6"/>
        <v>629.52813190142308</v>
      </c>
      <c r="G26" s="477">
        <f t="shared" si="7"/>
        <v>0</v>
      </c>
      <c r="H26" s="477">
        <f t="shared" si="8"/>
        <v>0</v>
      </c>
      <c r="I26" s="477">
        <f t="shared" si="9"/>
        <v>0</v>
      </c>
      <c r="J26" s="477">
        <f t="shared" si="10"/>
        <v>0.91331208802711172</v>
      </c>
      <c r="K26" s="477">
        <f t="shared" si="11"/>
        <v>0</v>
      </c>
      <c r="L26" s="477">
        <f t="shared" si="12"/>
        <v>0</v>
      </c>
      <c r="M26" s="477">
        <f t="shared" si="13"/>
        <v>0</v>
      </c>
      <c r="N26" s="477">
        <f t="shared" si="14"/>
        <v>0</v>
      </c>
      <c r="O26" s="477">
        <f t="shared" si="15"/>
        <v>0</v>
      </c>
      <c r="P26" s="478">
        <f t="shared" si="16"/>
        <v>0</v>
      </c>
      <c r="Q26" s="476">
        <f t="shared" ca="1" si="17"/>
        <v>8678.9475448093272</v>
      </c>
    </row>
    <row r="27" spans="1:17" s="482" customFormat="1">
      <c r="A27" s="480" t="s">
        <v>561</v>
      </c>
      <c r="B27" s="780">
        <f t="shared" ca="1" si="2"/>
        <v>21.925107615494984</v>
      </c>
      <c r="C27" s="481">
        <f t="shared" ca="1" si="3"/>
        <v>0</v>
      </c>
      <c r="D27" s="481">
        <f t="shared" si="4"/>
        <v>71.522458346053867</v>
      </c>
      <c r="E27" s="481">
        <f t="shared" si="5"/>
        <v>124.86501157983469</v>
      </c>
      <c r="F27" s="481">
        <f t="shared" si="6"/>
        <v>0</v>
      </c>
      <c r="G27" s="481">
        <f t="shared" si="7"/>
        <v>56488.946006491373</v>
      </c>
      <c r="H27" s="481">
        <f t="shared" si="8"/>
        <v>10243.278004519891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66950.536588552655</v>
      </c>
    </row>
    <row r="28" spans="1:17">
      <c r="A28" s="476" t="s">
        <v>551</v>
      </c>
      <c r="B28" s="477">
        <f t="shared" ca="1" si="2"/>
        <v>0</v>
      </c>
      <c r="C28" s="477">
        <f t="shared" ca="1" si="3"/>
        <v>0</v>
      </c>
      <c r="D28" s="477">
        <f t="shared" si="4"/>
        <v>0</v>
      </c>
      <c r="E28" s="477">
        <f t="shared" si="5"/>
        <v>0</v>
      </c>
      <c r="F28" s="477">
        <f t="shared" si="6"/>
        <v>0</v>
      </c>
      <c r="G28" s="477">
        <f t="shared" si="7"/>
        <v>354.47149030026765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354.47149030026765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127.57935439154882</v>
      </c>
      <c r="C32" s="477">
        <f t="shared" ca="1" si="3"/>
        <v>0</v>
      </c>
      <c r="D32" s="477">
        <f t="shared" si="4"/>
        <v>350.89204789305245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478.47140228460125</v>
      </c>
    </row>
    <row r="33" spans="1:17" s="486" customFormat="1">
      <c r="A33" s="1039" t="s">
        <v>555</v>
      </c>
      <c r="B33" s="987">
        <f ca="1">SUM(B22:B32)</f>
        <v>13057.906083774602</v>
      </c>
      <c r="C33" s="987">
        <f t="shared" ref="C33:Q33" ca="1" si="18">SUM(C22:C32)</f>
        <v>3063.8647058823535</v>
      </c>
      <c r="D33" s="987">
        <f t="shared" ca="1" si="18"/>
        <v>19827.413470210191</v>
      </c>
      <c r="E33" s="987">
        <f t="shared" si="18"/>
        <v>1251.467676870629</v>
      </c>
      <c r="F33" s="987">
        <f t="shared" ca="1" si="18"/>
        <v>8372.7693794971165</v>
      </c>
      <c r="G33" s="987">
        <f t="shared" si="18"/>
        <v>56843.417496791641</v>
      </c>
      <c r="H33" s="987">
        <f t="shared" si="18"/>
        <v>10243.278004519891</v>
      </c>
      <c r="I33" s="987">
        <f t="shared" si="18"/>
        <v>0</v>
      </c>
      <c r="J33" s="987">
        <f t="shared" si="18"/>
        <v>136.80927886006057</v>
      </c>
      <c r="K33" s="987">
        <f t="shared" si="18"/>
        <v>0</v>
      </c>
      <c r="L33" s="987">
        <f t="shared" ca="1" si="18"/>
        <v>0</v>
      </c>
      <c r="M33" s="987">
        <f t="shared" si="18"/>
        <v>0</v>
      </c>
      <c r="N33" s="987">
        <f t="shared" ca="1" si="18"/>
        <v>0</v>
      </c>
      <c r="O33" s="987">
        <f t="shared" si="18"/>
        <v>0</v>
      </c>
      <c r="P33" s="987">
        <f t="shared" si="18"/>
        <v>0</v>
      </c>
      <c r="Q33" s="987">
        <f t="shared" ca="1" si="18"/>
        <v>112796.9260964065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5164.7261993933316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9024.75</v>
      </c>
      <c r="D8" s="1056">
        <f>'SEAP template'!D76</f>
        <v>10617.352941176472</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2144.7052941176476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5208.3761993933313</v>
      </c>
      <c r="C10" s="1060">
        <f>SUM(C4:C9)</f>
        <v>9024.75</v>
      </c>
      <c r="D10" s="1060">
        <f t="shared" ref="D10:H10" si="0">SUM(D8:D9)</f>
        <v>10617.352941176472</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2144.7052941176476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0.2052673998573013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62.357142857142833</v>
      </c>
      <c r="C17" s="1062">
        <f>'SEAP template'!C87</f>
        <v>12892.5</v>
      </c>
      <c r="D17" s="1057">
        <f>'SEAP template'!D87</f>
        <v>15167.647058823532</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3063.8647058823535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62.357142857142833</v>
      </c>
      <c r="C20" s="1060">
        <f>SUM(C17:C19)</f>
        <v>12892.5</v>
      </c>
      <c r="D20" s="1060">
        <f t="shared" ref="D20:H20" si="2">SUM(D17:D19)</f>
        <v>15167.647058823532</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3063.8647058823535</v>
      </c>
    </row>
    <row r="22" spans="1:16">
      <c r="A22" s="487" t="s">
        <v>862</v>
      </c>
      <c r="B22" s="786" t="s">
        <v>856</v>
      </c>
      <c r="C22" s="786">
        <f ca="1">'EF ele_warmte'!B22</f>
        <v>0.23650316418746939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0.2052673998573013</v>
      </c>
      <c r="C17" s="524">
        <f ca="1">'EF ele_warmte'!B22</f>
        <v>0.23650316418746939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2019-08-12T08:33:10Z</dcterms:modified>
</cp:coreProperties>
</file>