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L78" i="14"/>
  <c r="L8" i="61"/>
  <c r="L10" s="1"/>
  <c r="E90" i="14"/>
  <c r="E18" i="61"/>
  <c r="K78" i="14"/>
  <c r="K8" i="61"/>
  <c r="K10" s="1"/>
  <c r="L90" i="14"/>
  <c r="L18" i="61"/>
  <c r="L20" s="1"/>
  <c r="L20" i="18"/>
  <c r="O77" i="14"/>
  <c r="O9" i="61" s="1"/>
  <c r="O10" s="1"/>
  <c r="N20"/>
  <c r="K90" i="14"/>
  <c r="K22"/>
  <c r="N77"/>
  <c r="P27" i="48"/>
  <c r="B10" i="18"/>
  <c r="H9"/>
  <c r="M77" i="14" s="1"/>
  <c r="M9" i="61" s="1"/>
  <c r="E20"/>
  <c r="C98" i="18"/>
  <c r="G10" i="61"/>
  <c r="P22" i="14"/>
  <c r="E10" i="61"/>
  <c r="B17" i="18"/>
  <c r="B20" s="1"/>
  <c r="F13" i="15"/>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9" i="18" l="1"/>
  <c r="O78" i="14"/>
  <c r="D10" i="61"/>
  <c r="H78" i="14"/>
  <c r="H9" i="61"/>
  <c r="H10" s="1"/>
  <c r="N78" i="14"/>
  <c r="N9" i="61"/>
  <c r="N10" s="1"/>
  <c r="O90" i="14"/>
  <c r="O18" i="61"/>
  <c r="O20" s="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I10"/>
  <c r="I76" i="14"/>
  <c r="I8" i="61" s="1"/>
  <c r="I10" s="1"/>
  <c r="Q88" i="14"/>
  <c r="P18" i="61" s="1"/>
  <c r="AC15" i="5"/>
  <c r="M78" i="14" l="1"/>
  <c r="M8" i="61"/>
  <c r="M10" s="1"/>
  <c r="M90" i="14"/>
  <c r="M17" i="61"/>
  <c r="M2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30"/>
  <c r="H28"/>
  <c r="H25"/>
  <c r="H24"/>
  <c r="H26"/>
  <c r="H22"/>
  <c r="H23"/>
  <c r="C4"/>
  <c r="D11" i="14"/>
  <c r="G23" i="48"/>
  <c r="G30"/>
  <c r="G32"/>
  <c r="G25"/>
  <c r="G26"/>
  <c r="G29"/>
  <c r="G22"/>
  <c r="G24"/>
  <c r="B4"/>
  <c r="C11" i="14"/>
  <c r="F30" i="48"/>
  <c r="F32"/>
  <c r="F29"/>
  <c r="F24"/>
  <c r="F31"/>
  <c r="F28"/>
  <c r="F27"/>
  <c r="N31"/>
  <c r="N24"/>
  <c r="N30"/>
  <c r="N32"/>
  <c r="N29"/>
  <c r="N27"/>
  <c r="N28"/>
  <c r="B10"/>
  <c r="C19" i="14"/>
  <c r="E29" i="48"/>
  <c r="E31"/>
  <c r="E24"/>
  <c r="E30"/>
  <c r="E28"/>
  <c r="E32"/>
  <c r="M29"/>
  <c r="M22"/>
  <c r="M26"/>
  <c r="M25"/>
  <c r="M24"/>
  <c r="M30"/>
  <c r="M32"/>
  <c r="M23"/>
  <c r="L10" i="14"/>
  <c r="L16" s="1"/>
  <c r="L27" s="1"/>
  <c r="K5" i="48"/>
  <c r="D30"/>
  <c r="D28"/>
  <c r="D29"/>
  <c r="D31"/>
  <c r="D32"/>
  <c r="D24"/>
  <c r="L29"/>
  <c r="L32"/>
  <c r="L30"/>
  <c r="L28"/>
  <c r="L27"/>
  <c r="L24"/>
  <c r="L22"/>
  <c r="L31"/>
  <c r="Q10" i="14"/>
  <c r="P5" i="48"/>
  <c r="P23" s="1"/>
  <c r="K32"/>
  <c r="K24"/>
  <c r="K27"/>
  <c r="K26"/>
  <c r="K28"/>
  <c r="K22"/>
  <c r="K29"/>
  <c r="K31"/>
  <c r="K25"/>
  <c r="K30"/>
  <c r="C24" i="14"/>
  <c r="C26" s="1"/>
  <c r="B7" i="48"/>
  <c r="J31"/>
  <c r="J30"/>
  <c r="J32"/>
  <c r="J24"/>
  <c r="J29"/>
  <c r="J28"/>
  <c r="J27"/>
  <c r="Q11" i="14"/>
  <c r="P4" i="48"/>
  <c r="P11" i="14"/>
  <c r="O4" i="48"/>
  <c r="I25"/>
  <c r="I31"/>
  <c r="I24"/>
  <c r="I28"/>
  <c r="I30"/>
  <c r="I22"/>
  <c r="I32"/>
  <c r="I26"/>
  <c r="I27"/>
  <c r="I29"/>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15"/>
  <c r="I23"/>
  <c r="I33" s="1"/>
  <c r="J4"/>
  <c r="K11" i="14"/>
  <c r="O11"/>
  <c r="N4" i="48"/>
  <c r="N22" s="1"/>
  <c r="M10"/>
  <c r="M28" s="1"/>
  <c r="N19" i="14"/>
  <c r="H19"/>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J5" i="48"/>
  <c r="J23" s="1"/>
  <c r="K10" i="14"/>
  <c r="E22" i="48"/>
  <c r="Q4"/>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<sst xmlns="http://schemas.openxmlformats.org/spreadsheetml/2006/main" count="2392" uniqueCount="887">
  <si>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</si>
  <si>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</si>
  <si>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</si>
  <si>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</si>
  <si>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</si>
  <si>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</si>
  <si>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</si>
  <si>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</si>
  <si>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</si>
  <si>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</si>
  <si>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</si>
  <si>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</si>
  <si>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</si>
  <si>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</si>
  <si>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</si>
  <si>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</si>
  <si>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</si>
  <si>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</si>
  <si>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</si>
  <si>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</si>
  <si>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</si>
  <si>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</si>
  <si>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</si>
  <si>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</si>
  <si>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</si>
  <si>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</si>
  <si>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</si>
  <si>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</si>
  <si>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</si>
  <si>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</si>
  <si>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</si>
  <si>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</si>
  <si>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</si>
  <si>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</si>
  <si>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</si>
  <si>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</si>
  <si>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</si>
  <si>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</si>
  <si>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</si>
  <si>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</si>
  <si>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</si>
  <si>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</si>
  <si>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</si>
  <si>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</si>
  <si>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</si>
  <si>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</si>
  <si>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</si>
  <si>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</si>
  <si>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</si>
  <si>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</si>
  <si>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</si>
  <si>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</si>
  <si>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</si>
  <si>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</si>
  <si>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</si>
  <si>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</si>
  <si>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</si>
  <si>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</si>
  <si>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</si>
  <si>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</si>
  <si>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</si>
  <si>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</si>
  <si>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</si>
  <si>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</si>
  <si>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</si>
  <si>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</si>
  <si>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</si>
  <si>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</si>
  <si>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</si>
  <si>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</si>
  <si>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</si>
  <si>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</si>
  <si>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</si>
  <si>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</si>
  <si>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</si>
  <si>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</si>
  <si>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</si>
  <si>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</si>
  <si>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</si>
  <si>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</si>
  <si>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</si>
  <si>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</si>
  <si>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</si>
  <si>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</si>
  <si>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</si>
  <si>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</si>
  <si>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</si>
  <si>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</si>
  <si>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</si>
  <si>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</si>
  <si>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</si>
  <si>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</si>
  <si>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</si>
  <si>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</si>
  <si>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</si>
  <si>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</si>
  <si>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</si>
  <si>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</si>
  <si>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</si>
  <si>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</si>
  <si>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</si>
  <si>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</si>
  <si>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</si>
  <si>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</si>
  <si>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</si>
  <si>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</si>
  <si>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</si>
  <si>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</si>
  <si>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</si>
  <si>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</si>
  <si>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</si>
  <si>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</si>
  <si>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</si>
  <si>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</si>
  <si>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</si>
  <si>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</si>
  <si>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</si>
  <si>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</si>
  <si>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</si>
  <si>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</si>
  <si>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</si>
  <si>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</si>
  <si>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</si>
  <si>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</si>
  <si>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</si>
  <si>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</si>
  <si>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</si>
  <si>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</si>
  <si>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</si>
  <si>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</si>
  <si>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</si>
  <si>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</si>
  <si>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</si>
  <si>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</si>
  <si>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</si>
  <si>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</si>
  <si>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</si>
  <si>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</si>
  <si>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</si>
  <si>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</si>
  <si>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</si>
  <si>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</si>
  <si>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</si>
  <si>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</si>
  <si>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</si>
  <si>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</si>
  <si>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</si>
  <si>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</si>
  <si>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</si>
  <si>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</si>
  <si>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</si>
  <si>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</si>
  <si>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</si>
  <si>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</si>
  <si>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</si>
  <si>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</si>
  <si>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</si>
  <si>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</si>
  <si>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</si>
  <si>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</si>
  <si>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</si>
  <si>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</si>
  <si>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</si>
  <si>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</si>
  <si>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</si>
  <si>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</si>
  <si>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</si>
  <si>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</si>
  <si>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</si>
  <si>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</si>
  <si>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</si>
  <si>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</si>
  <si>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</si>
  <si>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</si>
  <si>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</si>
  <si>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</si>
  <si>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</si>
  <si>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</si>
  <si>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</si>
  <si>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</si>
  <si>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</si>
  <si>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</si>
  <si>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</si>
  <si>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</si>
  <si>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</si>
  <si>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</si>
  <si>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</si>
  <si>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</si>
  <si>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</si>
  <si>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</si>
  <si>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</si>
  <si>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</si>
  <si>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</si>
  <si>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</si>
  <si>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</si>
  <si>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</si>
  <si>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</si>
  <si>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</si>
  <si>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</si>
  <si>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</si>
  <si>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</si>
  <si>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</si>
  <si>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</si>
  <si>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</si>
  <si>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</si>
  <si>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</si>
  <si>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</si>
  <si>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</si>
  <si>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</si>
  <si>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</si>
  <si>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</si>
  <si>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</si>
  <si>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</si>
  <si>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</si>
  <si>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</si>
  <si>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</si>
  <si>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</si>
  <si>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</si>
  <si>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</si>
  <si>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</si>
  <si>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</si>
  <si>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</si>
  <si>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</si>
  <si>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</si>
  <si>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</si>
  <si>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</si>
  <si>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</si>
  <si>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</si>
  <si>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</si>
  <si>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</si>
  <si>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</si>
  <si>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</si>
  <si>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</si>
  <si>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</si>
  <si>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</si>
  <si>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</si>
  <si>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</si>
  <si>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</si>
  <si>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</si>
  <si>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</si>
  <si>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</si>
  <si>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</si>
  <si>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</si>
  <si>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</si>
  <si>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</si>
  <si>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</si>
  <si>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</si>
  <si>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</si>
  <si>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</si>
  <si>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</si>
  <si>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</si>
  <si>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</si>
  <si>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</si>
  <si>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</si>
  <si>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</si>
  <si>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</si>
  <si>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</si>
  <si>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</si>
  <si>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</si>
  <si>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</si>
  <si>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</si>
  <si>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</si>
  <si>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</si>
  <si>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</si>
  <si>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</si>
  <si>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</si>
  <si>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</si>
  <si>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</si>
  <si>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</si>
  <si>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</si>
  <si>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</si>
  <si>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</si>
  <si>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</si>
  <si>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</si>
  <si>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</si>
  <si>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</si>
  <si>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</si>
  <si>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</si>
  <si>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</si>
  <si>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</si>
  <si>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</si>
  <si>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</si>
  <si>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</si>
  <si>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</si>
  <si>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</si>
  <si>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</si>
  <si>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</si>
  <si>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</si>
  <si>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</si>
  <si>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</si>
  <si>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</si>
  <si>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</si>
  <si>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</si>
  <si>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</si>
  <si>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</si>
  <si>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</si>
  <si>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</si>
  <si>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</si>
  <si>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</si>
  <si>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</si>
  <si>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</si>
  <si>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</si>
  <si>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</si>
  <si>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</si>
  <si>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</si>
  <si>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</si>
  <si>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</si>
  <si>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</si>
  <si>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</si>
  <si>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</si>
  <si>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</si>
  <si>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</si>
  <si>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</si>
  <si>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</si>
  <si>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</si>
  <si>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</si>
  <si>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</si>
  <si>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</si>
  <si>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</si>
  <si>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</si>
  <si>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</si>
  <si>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</si>
  <si>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</si>
  <si>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</si>
  <si>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</si>
  <si>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</si>
  <si>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</si>
  <si>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</si>
  <si>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</si>
  <si>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</si>
  <si>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</si>
  <si>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</si>
  <si>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</si>
  <si>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</si>
  <si>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</si>
  <si>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</si>
  <si>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</si>
  <si>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</si>
  <si>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</si>
  <si>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</si>
  <si>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</si>
  <si>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</si>
  <si>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</si>
  <si>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</si>
  <si>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</si>
  <si>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</si>
  <si>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</si>
  <si>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</si>
  <si>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</si>
  <si>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</si>
  <si>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</si>
  <si>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</si>
  <si>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</si>
  <si>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</si>
  <si>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</si>
  <si>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</si>
  <si>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</si>
  <si>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</si>
  <si>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</si>
  <si>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</si>
  <si>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</si>
  <si>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</si>
  <si>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</si>
  <si>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</si>
  <si>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</si>
  <si>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</si>
  <si>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</si>
  <si>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</si>
  <si>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</si>
  <si>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</si>
  <si>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</si>
  <si>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</si>
  <si>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</si>
  <si>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</si>
  <si>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</si>
  <si>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</si>
  <si>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</si>
  <si>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</si>
  <si>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</si>
  <si>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</si>
  <si>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</si>
  <si>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</si>
  <si>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</si>
  <si>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</si>
  <si>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</si>
  <si>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</si>
  <si>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</si>
  <si>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</si>
  <si>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</si>
  <si>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</si>
  <si>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</si>
  <si>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</si>
  <si>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</si>
  <si>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</si>
  <si>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</si>
  <si>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</si>
  <si>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</si>
  <si>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</si>
  <si>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</si>
  <si>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</si>
  <si>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</si>
  <si>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</si>
  <si>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</si>
  <si>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</si>
  <si>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</si>
  <si>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</si>
  <si>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</si>
  <si>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</si>
  <si>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</si>
  <si>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</si>
  <si>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</si>
  <si>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</si>
  <si>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</si>
  <si>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</si>
  <si>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</si>
  <si>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</si>
  <si>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</si>
  <si>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</si>
  <si>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</si>
  <si>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</si>
  <si>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</si>
  <si>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</si>
  <si>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</si>
  <si>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</si>
  <si>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</si>
  <si>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</si>
  <si>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</si>
  <si>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</si>
  <si>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</si>
  <si>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</si>
  <si>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</si>
  <si>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</si>
  <si>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</si>
  <si>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</si>
  <si>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</si>
  <si>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</si>
  <si>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</si>
  <si>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</si>
  <si>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</si>
  <si>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</si>
  <si>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</si>
  <si>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</si>
  <si>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</si>
  <si>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</si>
  <si>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</si>
  <si>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</si>
  <si>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</si>
  <si>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</si>
  <si>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</si>
  <si>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</si>
  <si>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</si>
  <si>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</si>
  <si>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</si>
  <si>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</si>
  <si>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</si>
  <si>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</si>
  <si>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</si>
  <si>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</si>
  <si>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</si>
  <si>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</si>
  <si>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</si>
  <si>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</si>
  <si>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</si>
  <si>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</si>
  <si>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</si>
  <si>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</si>
  <si>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</si>
  <si>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</si>
  <si>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</si>
  <si>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</si>
  <si>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</si>
  <si>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</si>
  <si>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</si>
  <si>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</si>
  <si>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</si>
  <si>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</si>
  <si>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</si>
  <si>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</si>
  <si>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</si>
  <si>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</si>
  <si>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</si>
  <si>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</si>
  <si>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</si>
  <si>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</si>
  <si>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</si>
  <si>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</si>
  <si>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</si>
  <si>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</si>
  <si>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</si>
  <si>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</si>
  <si>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</si>
  <si>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</si>
  <si>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</si>
  <si>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</si>
  <si>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</si>
  <si>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</si>
  <si>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</si>
  <si>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</si>
  <si>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</si>
  <si>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</si>
  <si>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</si>
  <si>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</si>
  <si>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</si>
  <si>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</si>
  <si>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</si>
  <si>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</si>
  <si>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</si>
  <si>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</si>
  <si>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</si>
  <si>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</si>
  <si>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</si>
  <si>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</si>
  <si>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</si>
  <si>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</si>
  <si>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</si>
  <si>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</si>
  <si>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</si>
  <si>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</si>
  <si>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</si>
  <si>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</si>
  <si>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</si>
  <si>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</si>
  <si>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</si>
  <si>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</si>
  <si>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</si>
  <si>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</si>
  <si>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</si>
  <si>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</si>
  <si>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</si>
  <si>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</si>
  <si>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</si>
  <si>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</si>
  <si>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</si>
  <si>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</si>
  <si>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</si>
  <si>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</si>
  <si>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</si>
  <si>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</si>
  <si>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</si>
  <si>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</si>
  <si>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</si>
  <si>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</si>
  <si>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</si>
  <si>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</si>
  <si>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</si>
  <si>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</si>
  <si>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</si>
  <si>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</si>
  <si>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</si>
  <si>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</si>
  <si>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</si>
  <si>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</si>
  <si>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</si>
  <si>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</si>
  <si>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</si>
  <si>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</si>
  <si>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</si>
  <si>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</si>
  <si>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</si>
  <si>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</si>
  <si>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</si>
  <si>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</si>
  <si>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</si>
  <si>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</si>
  <si>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</si>
  <si>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</si>
  <si>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</si>
  <si>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</si>
  <si>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</si>
  <si>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</si>
  <si>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</si>
  <si>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</si>
  <si>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</si>
  <si>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</si>
  <si>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</si>
  <si>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</si>
  <si>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</si>
  <si>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</si>
  <si>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</si>
  <si>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</si>
  <si>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</si>
  <si>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</si>
  <si>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</si>
  <si>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</si>
  <si>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</si>
  <si>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</si>
  <si>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</si>
  <si>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</si>
  <si>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</si>
  <si>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</si>
  <si>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</si>
  <si>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</si>
  <si>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</si>
  <si>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</si>
  <si>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</si>
  <si>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</si>
  <si>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</si>
  <si>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</si>
  <si>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</si>
  <si>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</si>
  <si>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</si>
  <si>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</si>
  <si>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</si>
  <si>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</si>
  <si>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</si>
  <si>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</si>
  <si>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</si>
  <si>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</si>
  <si>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</si>
  <si>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</si>
  <si>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</si>
  <si>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</si>
  <si>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</si>
  <si>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</si>
  <si>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</si>
  <si>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</si>
  <si>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</si>
  <si>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</si>
  <si>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</si>
  <si>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</si>
  <si>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</si>
  <si>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</si>
  <si>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</si>
  <si>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</si>
  <si>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</si>
  <si>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</si>
  <si>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</si>
  <si>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</si>
  <si>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</si>
  <si>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</si>
  <si>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</si>
  <si>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</si>
  <si>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</si>
  <si>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</si>
  <si>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</si>
  <si>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</si>
  <si>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</si>
  <si>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</si>
  <si>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</si>
  <si>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</si>
  <si>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</si>
  <si>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</si>
  <si>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</si>
  <si>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</si>
  <si>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</si>
  <si>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</si>
  <si>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</si>
  <si>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</si>
  <si>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</si>
  <si>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</si>
  <si>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</si>
  <si>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</si>
  <si>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</si>
  <si>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</si>
  <si>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</si>
  <si>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</si>
  <si>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</si>
  <si>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</si>
  <si>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</si>
  <si>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</si>
  <si>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</si>
  <si>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</si>
  <si>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</si>
  <si>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</si>
  <si>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</si>
  <si>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</si>
  <si>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</si>
  <si>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</si>
  <si>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</si>
  <si>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</si>
  <si>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</si>
  <si>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</si>
  <si>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</si>
  <si>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</si>
  <si>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</si>
  <si>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</si>
  <si>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</si>
  <si>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</si>
  <si>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</si>
  <si>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</si>
  <si>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</si>
  <si>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</si>
  <si>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</si>
  <si>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</si>
  <si>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</si>
  <si>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</si>
  <si>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</si>
  <si>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</si>
  <si>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</si>
  <si>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</si>
  <si>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</si>
  <si>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</si>
  <si>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</si>
  <si>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</si>
  <si>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</si>
  <si>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</si>
  <si>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</si>
  <si>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</si>
  <si>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</si>
  <si>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</si>
  <si>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</si>
  <si>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</si>
  <si>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</si>
  <si>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</si>
  <si>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</si>
  <si>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</si>
  <si>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</si>
  <si>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</si>
  <si>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</si>
  <si>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</si>
  <si>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</si>
  <si>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</si>
  <si>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</si>
  <si>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</si>
  <si>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</si>
  <si>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</si>
  <si>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</si>
  <si>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</si>
  <si>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</si>
  <si>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</si>
  <si>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</si>
  <si>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</si>
  <si>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</si>
  <si>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</si>
  <si>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</si>
  <si>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</si>
  <si>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</si>
  <si>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</si>
  <si>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</si>
  <si>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</si>
  <si>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</si>
  <si>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</si>
  <si>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</si>
  <si>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</si>
  <si>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</si>
  <si>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</si>
  <si>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</si>
  <si>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</si>
  <si>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</si>
  <si>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</si>
  <si>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</si>
  <si>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</si>
  <si>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</si>
  <si>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</si>
  <si>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</si>
  <si>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</si>
  <si>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</si>
  <si>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</si>
  <si>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</si>
  <si>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</si>
  <si>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</si>
  <si>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</si>
  <si>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</si>
  <si>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</si>
  <si>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</si>
  <si>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</si>
  <si>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</si>
  <si>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</si>
  <si>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</si>
  <si>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</si>
  <si>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</si>
  <si>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</si>
  <si>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</si>
  <si>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</si>
  <si>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</si>
  <si>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</si>
  <si>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</si>
  <si>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</si>
  <si>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</si>
  <si>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</si>
  <si>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</si>
  <si>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</si>
  <si>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</si>
  <si>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</si>
  <si>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</si>
  <si>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</si>
  <si>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</si>
  <si>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</si>
  <si>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</si>
  <si>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</si>
  <si>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</si>
  <si>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</si>
  <si>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</si>
  <si>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</si>
  <si>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</si>
  <si>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</si>
  <si>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</si>
  <si>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</si>
  <si>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</si>
  <si>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</si>
  <si>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</si>
  <si>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</si>
  <si>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</si>
  <si>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</si>
  <si>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</si>
  <si>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</si>
  <si>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</si>
  <si>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</si>
  <si>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</si>
  <si>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</si>
  <si>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</si>
  <si>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</si>
  <si>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</si>
  <si>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</si>
  <si>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</si>
  <si>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</si>
  <si>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</si>
  <si>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</si>
  <si>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</si>
  <si>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</si>
  <si>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</si>
  <si>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</si>
  <si>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</si>
  <si>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</si>
  <si>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</si>
  <si>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</si>
  <si>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</si>
  <si>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</si>
  <si>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</si>
  <si>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</si>
  <si>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</si>
  <si>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</si>
  <si>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</si>
  <si>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</si>
  <si>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</si>
  <si>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</si>
  <si>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</si>
  <si>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</si>
  <si>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</si>
  <si>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</si>
  <si>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</si>
  <si>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</si>
  <si>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</si>
  <si>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</si>
  <si>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</si>
  <si>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</si>
  <si>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</si>
  <si>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</si>
  <si>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</si>
  <si>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</si>
  <si>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</si>
  <si>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</si>
  <si>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</si>
  <si>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</si>
  <si>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</si>
  <si>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</si>
  <si>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</si>
  <si>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</si>
  <si>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</si>
  <si>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</si>
  <si>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</si>
  <si>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</si>
  <si>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</si>
  <si>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</si>
  <si>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</si>
  <si>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</si>
  <si>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</si>
  <si>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</si>
  <si>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</si>
  <si>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</si>
  <si>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</si>
  <si>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</si>
  <si>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</si>
  <si>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</si>
  <si>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</si>
  <si>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</si>
  <si>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</si>
  <si>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</si>
  <si>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</si>
  <si>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</si>
  <si>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</si>
  <si>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</si>
  <si>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</si>
  <si>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24134</t>
  </si>
  <si>
    <t>SCHERPENHEUVEL-ZICHEM</t>
  </si>
  <si>
    <t>Eandis (januari 2018); Infrax (juni 2018)</t>
  </si>
  <si>
    <t>MOW (september 2017)</t>
  </si>
  <si>
    <t>referentietaak LNE (2017); Jaarverslag De Lijn (2016)</t>
  </si>
  <si>
    <t>VEA (april 2018)</t>
  </si>
  <si>
    <t>VEA (januari 2017)</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</si>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</sst>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229218.03275216324</c:v>
                </c:pt>
                <c:pt idx="1">
                  <c:v>41488.745048798723</c:v>
                </c:pt>
                <c:pt idx="2">
                  <c:v>844.10599999999999</c:v>
                </c:pt>
                <c:pt idx="3">
                  <c:v>5844.6619136855898</c:v>
                </c:pt>
                <c:pt idx="4">
                  <c:v>5791.9835921220147</c:v>
                </c:pt>
                <c:pt idx="5">
                  <c:v>123571.40020219775</c:v>
                </c:pt>
                <c:pt idx="6">
                  <c:v>1066.2727862959464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229218.03275216324</c:v>
                </c:pt>
                <c:pt idx="1">
                  <c:v>41488.745048798723</c:v>
                </c:pt>
                <c:pt idx="2">
                  <c:v>844.10599999999999</c:v>
                </c:pt>
                <c:pt idx="3">
                  <c:v>5844.6619136855898</c:v>
                </c:pt>
                <c:pt idx="4">
                  <c:v>5791.9835921220147</c:v>
                </c:pt>
                <c:pt idx="5">
                  <c:v>123571.40020219775</c:v>
                </c:pt>
                <c:pt idx="6">
                  <c:v>1066.2727862959464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50837.726164494685</c:v>
                </c:pt>
                <c:pt idx="2">
                  <c:v>8008.0879336947019</c:v>
                </c:pt>
                <c:pt idx="3">
                  <c:v>167.22122456280684</c:v>
                </c:pt>
                <c:pt idx="4">
                  <c:v>1421.7684117420199</c:v>
                </c:pt>
                <c:pt idx="5">
                  <c:v>1122.3759358717712</c:v>
                </c:pt>
                <c:pt idx="6">
                  <c:v>30902.261080102817</c:v>
                </c:pt>
                <c:pt idx="7">
                  <c:v>269.39442013934797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50837.726164494685</c:v>
                </c:pt>
                <c:pt idx="2">
                  <c:v>8008.0879336947019</c:v>
                </c:pt>
                <c:pt idx="3">
                  <c:v>167.22122456280684</c:v>
                </c:pt>
                <c:pt idx="4">
                  <c:v>1421.7684117420199</c:v>
                </c:pt>
                <c:pt idx="5">
                  <c:v>1122.3759358717712</c:v>
                </c:pt>
                <c:pt idx="6">
                  <c:v>30902.261080102817</c:v>
                </c:pt>
                <c:pt idx="7">
                  <c:v>269.39442013934797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24134</v>
      </c>
      <c r="B6" s="415"/>
      <c r="C6" s="416"/>
    </row>
    <row r="7" spans="1:7" s="413" customFormat="1" ht="15.75" customHeight="1">
      <c r="A7" s="417" t="str">
        <f>txtMunicipality</f>
        <v>SCHERPENHEUVEL-ZICHEM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0.19810453256203231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0.19810453256203231</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9864</v>
      </c>
      <c r="C9" s="342">
        <v>10312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1757.77</v>
      </c>
    </row>
    <row r="15" spans="1:6">
      <c r="A15" s="348" t="s">
        <v>184</v>
      </c>
      <c r="B15" s="334">
        <v>11</v>
      </c>
    </row>
    <row r="16" spans="1:6">
      <c r="A16" s="348" t="s">
        <v>6</v>
      </c>
      <c r="B16" s="334">
        <v>490</v>
      </c>
    </row>
    <row r="17" spans="1:6">
      <c r="A17" s="348" t="s">
        <v>7</v>
      </c>
      <c r="B17" s="334">
        <v>234</v>
      </c>
    </row>
    <row r="18" spans="1:6">
      <c r="A18" s="348" t="s">
        <v>8</v>
      </c>
      <c r="B18" s="334">
        <v>432</v>
      </c>
    </row>
    <row r="19" spans="1:6">
      <c r="A19" s="348" t="s">
        <v>9</v>
      </c>
      <c r="B19" s="334">
        <v>350</v>
      </c>
    </row>
    <row r="20" spans="1:6">
      <c r="A20" s="348" t="s">
        <v>10</v>
      </c>
      <c r="B20" s="334">
        <v>222</v>
      </c>
    </row>
    <row r="21" spans="1:6">
      <c r="A21" s="348" t="s">
        <v>11</v>
      </c>
      <c r="B21" s="334">
        <v>0</v>
      </c>
    </row>
    <row r="22" spans="1:6">
      <c r="A22" s="348" t="s">
        <v>12</v>
      </c>
      <c r="B22" s="334">
        <v>3075</v>
      </c>
    </row>
    <row r="23" spans="1:6">
      <c r="A23" s="348" t="s">
        <v>13</v>
      </c>
      <c r="B23" s="334">
        <v>0</v>
      </c>
    </row>
    <row r="24" spans="1:6">
      <c r="A24" s="348" t="s">
        <v>14</v>
      </c>
      <c r="B24" s="334">
        <v>0</v>
      </c>
    </row>
    <row r="25" spans="1:6">
      <c r="A25" s="348" t="s">
        <v>15</v>
      </c>
      <c r="B25" s="334">
        <v>0</v>
      </c>
    </row>
    <row r="26" spans="1:6">
      <c r="A26" s="348" t="s">
        <v>16</v>
      </c>
      <c r="B26" s="334">
        <v>93</v>
      </c>
    </row>
    <row r="27" spans="1:6">
      <c r="A27" s="348" t="s">
        <v>17</v>
      </c>
      <c r="B27" s="334">
        <v>0</v>
      </c>
    </row>
    <row r="28" spans="1:6" s="356" customFormat="1">
      <c r="A28" s="355" t="s">
        <v>18</v>
      </c>
      <c r="B28" s="355">
        <v>20</v>
      </c>
    </row>
    <row r="29" spans="1:6">
      <c r="A29" s="355" t="s">
        <v>744</v>
      </c>
      <c r="B29" s="355">
        <v>118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7776</v>
      </c>
    </row>
    <row r="39" spans="1:6">
      <c r="A39" s="348" t="s">
        <v>30</v>
      </c>
      <c r="B39" s="348" t="s">
        <v>31</v>
      </c>
      <c r="C39" s="334">
        <v>3792</v>
      </c>
      <c r="D39" s="334">
        <v>62392234.813357197</v>
      </c>
      <c r="E39" s="334">
        <v>9825</v>
      </c>
      <c r="F39" s="334">
        <v>35697802.2186407</v>
      </c>
    </row>
    <row r="40" spans="1:6">
      <c r="A40" s="348" t="s">
        <v>30</v>
      </c>
      <c r="B40" s="348" t="s">
        <v>29</v>
      </c>
      <c r="C40" s="334">
        <v>0</v>
      </c>
      <c r="D40" s="334">
        <v>0</v>
      </c>
      <c r="E40" s="334">
        <v>0</v>
      </c>
      <c r="F40" s="334">
        <v>0</v>
      </c>
    </row>
    <row r="41" spans="1:6">
      <c r="A41" s="348" t="s">
        <v>32</v>
      </c>
      <c r="B41" s="348" t="s">
        <v>33</v>
      </c>
      <c r="C41" s="334">
        <v>44</v>
      </c>
      <c r="D41" s="334">
        <v>908606.75448053295</v>
      </c>
      <c r="E41" s="334">
        <v>119</v>
      </c>
      <c r="F41" s="334">
        <v>737674.69488462806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138931.49506600699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1018376.8719542</v>
      </c>
      <c r="E48" s="334">
        <v>70</v>
      </c>
      <c r="F48" s="334">
        <v>886581.14434091805</v>
      </c>
    </row>
    <row r="49" spans="1:6">
      <c r="A49" s="348" t="s">
        <v>32</v>
      </c>
      <c r="B49" s="348" t="s">
        <v>40</v>
      </c>
      <c r="C49" s="334">
        <v>0</v>
      </c>
      <c r="D49" s="334">
        <v>0</v>
      </c>
      <c r="E49" s="334">
        <v>0</v>
      </c>
      <c r="F49" s="334">
        <v>0</v>
      </c>
    </row>
    <row r="50" spans="1:6">
      <c r="A50" s="348" t="s">
        <v>32</v>
      </c>
      <c r="B50" s="348" t="s">
        <v>41</v>
      </c>
      <c r="C50" s="334">
        <v>4</v>
      </c>
      <c r="D50" s="334">
        <v>66529.410352330699</v>
      </c>
      <c r="E50" s="334">
        <v>11</v>
      </c>
      <c r="F50" s="334">
        <v>648274.31864407496</v>
      </c>
    </row>
    <row r="51" spans="1:6">
      <c r="A51" s="348" t="s">
        <v>42</v>
      </c>
      <c r="B51" s="348" t="s">
        <v>43</v>
      </c>
      <c r="C51" s="334">
        <v>8</v>
      </c>
      <c r="D51" s="334">
        <v>181720.043909486</v>
      </c>
      <c r="E51" s="334">
        <v>27</v>
      </c>
      <c r="F51" s="334">
        <v>373969.99146967102</v>
      </c>
    </row>
    <row r="52" spans="1:6">
      <c r="A52" s="348" t="s">
        <v>42</v>
      </c>
      <c r="B52" s="348" t="s">
        <v>29</v>
      </c>
      <c r="C52" s="334">
        <v>6</v>
      </c>
      <c r="D52" s="334">
        <v>1368889.12718074</v>
      </c>
      <c r="E52" s="334">
        <v>19</v>
      </c>
      <c r="F52" s="334">
        <v>458582.691345673</v>
      </c>
    </row>
    <row r="53" spans="1:6">
      <c r="A53" s="348" t="s">
        <v>44</v>
      </c>
      <c r="B53" s="348" t="s">
        <v>45</v>
      </c>
      <c r="C53" s="334">
        <v>123</v>
      </c>
      <c r="D53" s="334">
        <v>1979114.69119043</v>
      </c>
      <c r="E53" s="334">
        <v>369</v>
      </c>
      <c r="F53" s="334">
        <v>1067411.6269030599</v>
      </c>
    </row>
    <row r="54" spans="1:6">
      <c r="A54" s="348" t="s">
        <v>46</v>
      </c>
      <c r="B54" s="348" t="s">
        <v>47</v>
      </c>
      <c r="C54" s="334">
        <v>0</v>
      </c>
      <c r="D54" s="334">
        <v>0</v>
      </c>
      <c r="E54" s="334">
        <v>1</v>
      </c>
      <c r="F54" s="334">
        <v>844106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1363596.3515069101</v>
      </c>
      <c r="E57" s="334">
        <v>112</v>
      </c>
      <c r="F57" s="334">
        <v>2306750.0203137998</v>
      </c>
    </row>
    <row r="58" spans="1:6">
      <c r="A58" s="348" t="s">
        <v>49</v>
      </c>
      <c r="B58" s="348" t="s">
        <v>51</v>
      </c>
      <c r="C58" s="334">
        <v>19</v>
      </c>
      <c r="D58" s="334">
        <v>578162.14854676905</v>
      </c>
      <c r="E58" s="334">
        <v>77</v>
      </c>
      <c r="F58" s="334">
        <v>1230033.4903823601</v>
      </c>
    </row>
    <row r="59" spans="1:6">
      <c r="A59" s="348" t="s">
        <v>49</v>
      </c>
      <c r="B59" s="348" t="s">
        <v>52</v>
      </c>
      <c r="C59" s="334">
        <v>46</v>
      </c>
      <c r="D59" s="334">
        <v>1449578.94393249</v>
      </c>
      <c r="E59" s="334">
        <v>155</v>
      </c>
      <c r="F59" s="334">
        <v>3995824.6805500598</v>
      </c>
    </row>
    <row r="60" spans="1:6">
      <c r="A60" s="348" t="s">
        <v>49</v>
      </c>
      <c r="B60" s="348" t="s">
        <v>53</v>
      </c>
      <c r="C60" s="334">
        <v>46</v>
      </c>
      <c r="D60" s="334">
        <v>2054476.2030209</v>
      </c>
      <c r="E60" s="334">
        <v>82</v>
      </c>
      <c r="F60" s="334">
        <v>1777709.70019375</v>
      </c>
    </row>
    <row r="61" spans="1:6">
      <c r="A61" s="348" t="s">
        <v>49</v>
      </c>
      <c r="B61" s="348" t="s">
        <v>54</v>
      </c>
      <c r="C61" s="334">
        <v>72</v>
      </c>
      <c r="D61" s="334">
        <v>4006291.8474693899</v>
      </c>
      <c r="E61" s="334">
        <v>287</v>
      </c>
      <c r="F61" s="334">
        <v>2721107.6275446401</v>
      </c>
    </row>
    <row r="62" spans="1:6">
      <c r="A62" s="348" t="s">
        <v>49</v>
      </c>
      <c r="B62" s="348" t="s">
        <v>55</v>
      </c>
      <c r="C62" s="334">
        <v>6</v>
      </c>
      <c r="D62" s="334">
        <v>397364.97756456002</v>
      </c>
      <c r="E62" s="334">
        <v>10</v>
      </c>
      <c r="F62" s="334">
        <v>144881.13038641601</v>
      </c>
    </row>
    <row r="63" spans="1:6">
      <c r="A63" s="348" t="s">
        <v>49</v>
      </c>
      <c r="B63" s="348" t="s">
        <v>29</v>
      </c>
      <c r="C63" s="334">
        <v>159</v>
      </c>
      <c r="D63" s="334">
        <v>10094181.0980369</v>
      </c>
      <c r="E63" s="334">
        <v>205</v>
      </c>
      <c r="F63" s="334">
        <v>5400046.3322401</v>
      </c>
    </row>
    <row r="64" spans="1:6">
      <c r="A64" s="348" t="s">
        <v>56</v>
      </c>
      <c r="B64" s="348" t="s">
        <v>57</v>
      </c>
      <c r="C64" s="334">
        <v>0</v>
      </c>
      <c r="D64" s="334">
        <v>0</v>
      </c>
      <c r="E64" s="334">
        <v>0</v>
      </c>
      <c r="F64" s="334">
        <v>0</v>
      </c>
    </row>
    <row r="65" spans="1:6">
      <c r="A65" s="348" t="s">
        <v>56</v>
      </c>
      <c r="B65" s="348" t="s">
        <v>29</v>
      </c>
      <c r="C65" s="334">
        <v>1</v>
      </c>
      <c r="D65" s="334">
        <v>16395.093685093099</v>
      </c>
      <c r="E65" s="334">
        <v>8</v>
      </c>
      <c r="F65" s="334">
        <v>23459.7501066246</v>
      </c>
    </row>
    <row r="66" spans="1:6">
      <c r="A66" s="348" t="s">
        <v>56</v>
      </c>
      <c r="B66" s="348" t="s">
        <v>58</v>
      </c>
      <c r="C66" s="334">
        <v>0</v>
      </c>
      <c r="D66" s="334">
        <v>0</v>
      </c>
      <c r="E66" s="334">
        <v>4</v>
      </c>
      <c r="F66" s="334">
        <v>3891</v>
      </c>
    </row>
    <row r="67" spans="1:6">
      <c r="A67" s="355" t="s">
        <v>56</v>
      </c>
      <c r="B67" s="355" t="s">
        <v>59</v>
      </c>
      <c r="C67" s="334">
        <v>0</v>
      </c>
      <c r="D67" s="334">
        <v>0</v>
      </c>
      <c r="E67" s="334">
        <v>0</v>
      </c>
      <c r="F67" s="334">
        <v>0</v>
      </c>
    </row>
    <row r="68" spans="1:6">
      <c r="A68" s="341" t="s">
        <v>56</v>
      </c>
      <c r="B68" s="341" t="s">
        <v>60</v>
      </c>
      <c r="C68" s="334">
        <v>5</v>
      </c>
      <c r="D68" s="334">
        <v>139075.16164187001</v>
      </c>
      <c r="E68" s="334">
        <v>12</v>
      </c>
      <c r="F68" s="334">
        <v>80645.370995714504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66159403</v>
      </c>
      <c r="E73" s="475">
        <v>60153442.599737383</v>
      </c>
    </row>
    <row r="74" spans="1:6">
      <c r="A74" s="348" t="s">
        <v>64</v>
      </c>
      <c r="B74" s="348" t="s">
        <v>657</v>
      </c>
      <c r="C74" s="1295" t="s">
        <v>659</v>
      </c>
      <c r="D74" s="475">
        <v>5469489.5</v>
      </c>
      <c r="E74" s="475">
        <v>4500076.7852023421</v>
      </c>
    </row>
    <row r="75" spans="1:6">
      <c r="A75" s="348" t="s">
        <v>65</v>
      </c>
      <c r="B75" s="348" t="s">
        <v>656</v>
      </c>
      <c r="C75" s="1295" t="s">
        <v>660</v>
      </c>
      <c r="D75" s="475">
        <v>54456016</v>
      </c>
      <c r="E75" s="475">
        <v>50708270.299956858</v>
      </c>
    </row>
    <row r="76" spans="1:6">
      <c r="A76" s="348" t="s">
        <v>65</v>
      </c>
      <c r="B76" s="348" t="s">
        <v>657</v>
      </c>
      <c r="C76" s="1295" t="s">
        <v>661</v>
      </c>
      <c r="D76" s="475">
        <v>2227253.5</v>
      </c>
      <c r="E76" s="475">
        <v>1857147.0764002213</v>
      </c>
    </row>
    <row r="77" spans="1:6">
      <c r="A77" s="348" t="s">
        <v>66</v>
      </c>
      <c r="B77" s="348" t="s">
        <v>656</v>
      </c>
      <c r="C77" s="1295" t="s">
        <v>662</v>
      </c>
      <c r="D77" s="475">
        <v>12455144</v>
      </c>
      <c r="E77" s="475">
        <v>13304672.637789501</v>
      </c>
    </row>
    <row r="78" spans="1:6">
      <c r="A78" s="341" t="s">
        <v>66</v>
      </c>
      <c r="B78" s="341" t="s">
        <v>657</v>
      </c>
      <c r="C78" s="341" t="s">
        <v>663</v>
      </c>
      <c r="D78" s="1296">
        <v>1372582</v>
      </c>
      <c r="E78" s="1296">
        <v>1493412.6724897597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289191</v>
      </c>
      <c r="C83" s="475">
        <v>289584.95063166344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5396.2006563630393</v>
      </c>
    </row>
    <row r="92" spans="1:6">
      <c r="A92" s="341" t="s">
        <v>69</v>
      </c>
      <c r="B92" s="342">
        <v>1237.649798464689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24</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231</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63968.238219678518</v>
      </c>
      <c r="C3" s="43" t="s">
        <v>170</v>
      </c>
      <c r="D3" s="43"/>
      <c r="E3" s="154"/>
      <c r="F3" s="43"/>
      <c r="G3" s="43"/>
      <c r="H3" s="43"/>
      <c r="I3" s="43"/>
      <c r="J3" s="43"/>
      <c r="K3" s="96"/>
    </row>
    <row r="4" spans="1:11">
      <c r="A4" s="383" t="s">
        <v>171</v>
      </c>
      <c r="B4" s="49">
        <f>IF(ISERROR('SEAP template'!B78+'SEAP template'!C78),0,'SEAP template'!B78+'SEAP template'!C78)</f>
        <v>6723.8504548277288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21.388235294117649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0.19810453256203231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844.10599999999999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844.10599999999999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0.19810453256203231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167.22122456280684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35697.802218640703</v>
      </c>
      <c r="C5" s="17">
        <f>IF(ISERROR('Eigen informatie GS &amp; warmtenet'!B57),0,'Eigen informatie GS &amp; warmtenet'!B57)</f>
        <v>0</v>
      </c>
      <c r="D5" s="30">
        <f>(SUM(HH_hh_gas_kWh,HH_rest_gas_kWh)/1000)*0.902</f>
        <v>56277.795801648193</v>
      </c>
      <c r="E5" s="17">
        <f>B46*B57</f>
        <v>6991.2211705470299</v>
      </c>
      <c r="F5" s="17">
        <f>B51*B62</f>
        <v>111392.11976101926</v>
      </c>
      <c r="G5" s="18"/>
      <c r="H5" s="17"/>
      <c r="I5" s="17"/>
      <c r="J5" s="17">
        <f>B50*B61+C50*C61</f>
        <v>0</v>
      </c>
      <c r="K5" s="17"/>
      <c r="L5" s="17"/>
      <c r="M5" s="17"/>
      <c r="N5" s="17">
        <f>B48*B59+C48*C59</f>
        <v>11729.576477278388</v>
      </c>
      <c r="O5" s="17">
        <f>B69*B70*B71</f>
        <v>398.65000000000003</v>
      </c>
      <c r="P5" s="17">
        <f>B77*B78*B79/1000-B77*B78*B79/1000/B80</f>
        <v>1334.6666666666667</v>
      </c>
    </row>
    <row r="6" spans="1:16">
      <c r="A6" s="16" t="s">
        <v>621</v>
      </c>
      <c r="B6" s="788">
        <f>kWh_PV_kleiner_dan_10kW</f>
        <v>5396.2006563630393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41094.002875003745</v>
      </c>
      <c r="C8" s="21">
        <f>C5</f>
        <v>0</v>
      </c>
      <c r="D8" s="21">
        <f>D5</f>
        <v>56277.795801648193</v>
      </c>
      <c r="E8" s="21">
        <f>E5</f>
        <v>6991.2211705470299</v>
      </c>
      <c r="F8" s="21">
        <f>F5</f>
        <v>111392.11976101926</v>
      </c>
      <c r="G8" s="21"/>
      <c r="H8" s="21"/>
      <c r="I8" s="21"/>
      <c r="J8" s="21">
        <f>J5</f>
        <v>0</v>
      </c>
      <c r="K8" s="21"/>
      <c r="L8" s="21">
        <f>L5</f>
        <v>0</v>
      </c>
      <c r="M8" s="21">
        <f>M5</f>
        <v>0</v>
      </c>
      <c r="N8" s="21">
        <f>N5</f>
        <v>11729.576477278388</v>
      </c>
      <c r="O8" s="21">
        <f>O5</f>
        <v>398.65000000000003</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0.19810453256203231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8140.9082306554292</v>
      </c>
      <c r="C12" s="23">
        <f ca="1">C10*C8</f>
        <v>0</v>
      </c>
      <c r="D12" s="23">
        <f>D8*D10</f>
        <v>11368.114751932935</v>
      </c>
      <c r="E12" s="23">
        <f>E10*E8</f>
        <v>1587.0072057141758</v>
      </c>
      <c r="F12" s="23">
        <f>F10*F8</f>
        <v>29741.695976192146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9864</v>
      </c>
      <c r="C28" s="36"/>
      <c r="D28" s="228"/>
    </row>
    <row r="29" spans="1:7" s="15" customFormat="1">
      <c r="A29" s="230" t="s">
        <v>794</v>
      </c>
      <c r="B29" s="37">
        <f>SUM(HH_hh_gas_aantal,HH_rest_gas_aantal)</f>
        <v>3792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3792</v>
      </c>
      <c r="C32" s="167">
        <f>IF(ISERROR(B32/SUM($B$32,$B$34,$B$35,$B$36,$B$38,$B$39)*100),0,B32/SUM($B$32,$B$34,$B$35,$B$36,$B$38,$B$39)*100)</f>
        <v>38.717582193179496</v>
      </c>
      <c r="D32" s="233"/>
      <c r="G32" s="15"/>
    </row>
    <row r="33" spans="1:7">
      <c r="A33" s="171" t="s">
        <v>72</v>
      </c>
      <c r="B33" s="34" t="s">
        <v>111</v>
      </c>
      <c r="C33" s="167"/>
      <c r="D33" s="233"/>
      <c r="G33" s="15"/>
    </row>
    <row r="34" spans="1:7">
      <c r="A34" s="171" t="s">
        <v>73</v>
      </c>
      <c r="B34" s="33">
        <f>IF((($B$28-$B$32-$B$39-$B$77-$B$38)*C20/100)&lt;0,0,($B$28-$B$32-$B$39-$B$77-$B$38)*C20/100)</f>
        <v>330.188340807175</v>
      </c>
      <c r="C34" s="167">
        <f>IF(ISERROR(B34/SUM($B$32,$B$34,$B$35,$B$36,$B$38,$B$39)*100),0,B34/SUM($B$32,$B$34,$B$35,$B$36,$B$38,$B$39)*100)</f>
        <v>3.3713328650926586</v>
      </c>
      <c r="D34" s="233"/>
      <c r="G34" s="15"/>
    </row>
    <row r="35" spans="1:7">
      <c r="A35" s="171" t="s">
        <v>74</v>
      </c>
      <c r="B35" s="33">
        <f>IF((($B$28-$B$32-$B$39-$B$77-$B$38)*C21/100)&lt;0,0,($B$28-$B$32-$B$39-$B$77-$B$38)*C21/100)</f>
        <v>1206.4573991031396</v>
      </c>
      <c r="C35" s="167">
        <f>IF(ISERROR(B35/SUM($B$32,$B$34,$B$35,$B$36,$B$38,$B$39)*100),0,B35/SUM($B$32,$B$34,$B$35,$B$36,$B$38,$B$39)*100)</f>
        <v>12.318331622453947</v>
      </c>
      <c r="D35" s="233"/>
      <c r="G35" s="15"/>
    </row>
    <row r="36" spans="1:7">
      <c r="A36" s="171" t="s">
        <v>75</v>
      </c>
      <c r="B36" s="33">
        <f>IF((($B$28-$B$32-$B$39-$B$77-$B$38)*C22/100)&lt;0,0,($B$28-$B$32-$B$39-$B$77-$B$38)*C22/100)</f>
        <v>162.55426008968618</v>
      </c>
      <c r="C36" s="167">
        <f>IF(ISERROR(B36/SUM($B$32,$B$34,$B$35,$B$36,$B$38,$B$39)*100),0,B36/SUM($B$32,$B$34,$B$35,$B$36,$B$38,$B$39)*100)</f>
        <v>1.6597331028148476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4302.7999999999993</v>
      </c>
      <c r="C39" s="167">
        <f>IF(ISERROR(B39/SUM($B$32,$B$34,$B$35,$B$36,$B$38,$B$39)*100),0,B39/SUM($B$32,$B$34,$B$35,$B$36,$B$38,$B$39)*100)</f>
        <v>43.933020216459049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3792</v>
      </c>
      <c r="C44" s="34" t="s">
        <v>111</v>
      </c>
      <c r="D44" s="174"/>
    </row>
    <row r="45" spans="1:7">
      <c r="A45" s="171" t="s">
        <v>72</v>
      </c>
      <c r="B45" s="33" t="str">
        <f t="shared" si="0"/>
        <v>-</v>
      </c>
      <c r="C45" s="34" t="s">
        <v>111</v>
      </c>
      <c r="D45" s="174"/>
    </row>
    <row r="46" spans="1:7">
      <c r="A46" s="171" t="s">
        <v>73</v>
      </c>
      <c r="B46" s="33">
        <f t="shared" si="0"/>
        <v>330.188340807175</v>
      </c>
      <c r="C46" s="34" t="s">
        <v>111</v>
      </c>
      <c r="D46" s="174"/>
    </row>
    <row r="47" spans="1:7">
      <c r="A47" s="171" t="s">
        <v>74</v>
      </c>
      <c r="B47" s="33">
        <f t="shared" si="0"/>
        <v>1206.4573991031396</v>
      </c>
      <c r="C47" s="34" t="s">
        <v>111</v>
      </c>
      <c r="D47" s="174"/>
    </row>
    <row r="48" spans="1:7">
      <c r="A48" s="171" t="s">
        <v>75</v>
      </c>
      <c r="B48" s="33">
        <f t="shared" si="0"/>
        <v>162.55426008968618</v>
      </c>
      <c r="C48" s="33">
        <f>B48*10</f>
        <v>1625.5426008968618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4302.7999999999993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17576.35298161113</v>
      </c>
      <c r="C5" s="17">
        <f>IF(ISERROR('Eigen informatie GS &amp; warmtenet'!B58),0,'Eigen informatie GS &amp; warmtenet'!B58)</f>
        <v>0</v>
      </c>
      <c r="D5" s="30">
        <f>SUM(D6:D12)</f>
        <v>17989.173716210284</v>
      </c>
      <c r="E5" s="17">
        <f>SUM(E6:E12)</f>
        <v>242.47190906930064</v>
      </c>
      <c r="F5" s="17">
        <f>SUM(F6:F12)</f>
        <v>3149.1198557043276</v>
      </c>
      <c r="G5" s="18"/>
      <c r="H5" s="17"/>
      <c r="I5" s="17"/>
      <c r="J5" s="17">
        <f>SUM(J6:J12)</f>
        <v>6.3146849202492694E-2</v>
      </c>
      <c r="K5" s="17"/>
      <c r="L5" s="17"/>
      <c r="M5" s="17"/>
      <c r="N5" s="17">
        <f>SUM(N6:N12)</f>
        <v>2509.8082012592495</v>
      </c>
      <c r="O5" s="17">
        <f>B38*B39*B40</f>
        <v>3.1266666666666669</v>
      </c>
      <c r="P5" s="17">
        <f>B46*B47*B48/1000-B46*B47*B48/1000/B49</f>
        <v>57.2</v>
      </c>
      <c r="R5" s="32"/>
    </row>
    <row r="6" spans="1:18">
      <c r="A6" s="32" t="s">
        <v>54</v>
      </c>
      <c r="B6" s="37">
        <f>B26</f>
        <v>2721.1076275446403</v>
      </c>
      <c r="C6" s="33"/>
      <c r="D6" s="37">
        <f>IF(ISERROR(TER_kantoor_gas_kWh/1000),0,TER_kantoor_gas_kWh/1000)*0.902</f>
        <v>3613.6752464173896</v>
      </c>
      <c r="E6" s="33">
        <f>$C$26*'E Balans VL '!I12/100/3.6*1000000</f>
        <v>1.7054997583231396E-2</v>
      </c>
      <c r="F6" s="33">
        <f>$C$26*('E Balans VL '!L12+'E Balans VL '!N12)/100/3.6*1000000</f>
        <v>408.90644142110187</v>
      </c>
      <c r="G6" s="34"/>
      <c r="H6" s="33"/>
      <c r="I6" s="33"/>
      <c r="J6" s="33">
        <f>$C$26*('E Balans VL '!D12+'E Balans VL '!E12)/100/3.6*1000000</f>
        <v>0</v>
      </c>
      <c r="K6" s="33"/>
      <c r="L6" s="33"/>
      <c r="M6" s="33"/>
      <c r="N6" s="33">
        <f>$C$26*'E Balans VL '!Y12/100/3.6*1000000</f>
        <v>2.6023359972645483</v>
      </c>
      <c r="O6" s="33"/>
      <c r="P6" s="33"/>
      <c r="R6" s="32"/>
    </row>
    <row r="7" spans="1:18">
      <c r="A7" s="32" t="s">
        <v>53</v>
      </c>
      <c r="B7" s="37">
        <f t="shared" ref="B7:B12" si="0">B27</f>
        <v>1777.70970019375</v>
      </c>
      <c r="C7" s="33"/>
      <c r="D7" s="37">
        <f>IF(ISERROR(TER_horeca_gas_kWh/1000),0,TER_horeca_gas_kWh/1000)*0.902</f>
        <v>1853.1375351248519</v>
      </c>
      <c r="E7" s="33">
        <f>$C$27*'E Balans VL '!I9/100/3.6*1000000</f>
        <v>25.45650679686527</v>
      </c>
      <c r="F7" s="33">
        <f>$C$27*('E Balans VL '!L9+'E Balans VL '!N9)/100/3.6*1000000</f>
        <v>225.11667916925589</v>
      </c>
      <c r="G7" s="34"/>
      <c r="H7" s="33"/>
      <c r="I7" s="33"/>
      <c r="J7" s="33">
        <f>$C$27*('E Balans VL '!D9+'E Balans VL '!E9)/100/3.6*1000000</f>
        <v>0</v>
      </c>
      <c r="K7" s="33"/>
      <c r="L7" s="33"/>
      <c r="M7" s="33"/>
      <c r="N7" s="33">
        <f>$C$27*'E Balans VL '!Y9/100/3.6*1000000</f>
        <v>0.51105234367131103</v>
      </c>
      <c r="O7" s="33"/>
      <c r="P7" s="33"/>
      <c r="R7" s="32"/>
    </row>
    <row r="8" spans="1:18">
      <c r="A8" s="6" t="s">
        <v>52</v>
      </c>
      <c r="B8" s="37">
        <f t="shared" si="0"/>
        <v>3995.8246805500598</v>
      </c>
      <c r="C8" s="33"/>
      <c r="D8" s="37">
        <f>IF(ISERROR(TER_handel_gas_kWh/1000),0,TER_handel_gas_kWh/1000)*0.902</f>
        <v>1307.520207427106</v>
      </c>
      <c r="E8" s="33">
        <f>$C$28*'E Balans VL '!I13/100/3.6*1000000</f>
        <v>144.92806842052673</v>
      </c>
      <c r="F8" s="33">
        <f>$C$28*('E Balans VL '!L13+'E Balans VL '!N13)/100/3.6*1000000</f>
        <v>769.63629377121754</v>
      </c>
      <c r="G8" s="34"/>
      <c r="H8" s="33"/>
      <c r="I8" s="33"/>
      <c r="J8" s="33">
        <f>$C$28*('E Balans VL '!D13+'E Balans VL '!E13)/100/3.6*1000000</f>
        <v>0</v>
      </c>
      <c r="K8" s="33"/>
      <c r="L8" s="33"/>
      <c r="M8" s="33"/>
      <c r="N8" s="33">
        <f>$C$28*'E Balans VL '!Y13/100/3.6*1000000</f>
        <v>5.5351365808168946</v>
      </c>
      <c r="O8" s="33"/>
      <c r="P8" s="33"/>
      <c r="R8" s="32"/>
    </row>
    <row r="9" spans="1:18">
      <c r="A9" s="32" t="s">
        <v>51</v>
      </c>
      <c r="B9" s="37">
        <f t="shared" si="0"/>
        <v>1230.03349038236</v>
      </c>
      <c r="C9" s="33"/>
      <c r="D9" s="37">
        <f>IF(ISERROR(TER_gezond_gas_kWh/1000),0,TER_gezond_gas_kWh/1000)*0.902</f>
        <v>521.50225798918564</v>
      </c>
      <c r="E9" s="33">
        <f>$C$29*'E Balans VL '!I10/100/3.6*1000000</f>
        <v>7.7012240884642952E-2</v>
      </c>
      <c r="F9" s="33">
        <f>$C$29*('E Balans VL '!L10+'E Balans VL '!N10)/100/3.6*1000000</f>
        <v>182.72522009161381</v>
      </c>
      <c r="G9" s="34"/>
      <c r="H9" s="33"/>
      <c r="I9" s="33"/>
      <c r="J9" s="33">
        <f>$C$29*('E Balans VL '!D10+'E Balans VL '!E10)/100/3.6*1000000</f>
        <v>0</v>
      </c>
      <c r="K9" s="33"/>
      <c r="L9" s="33"/>
      <c r="M9" s="33"/>
      <c r="N9" s="33">
        <f>$C$29*'E Balans VL '!Y10/100/3.6*1000000</f>
        <v>19.026276717320695</v>
      </c>
      <c r="O9" s="33"/>
      <c r="P9" s="33"/>
      <c r="R9" s="32"/>
    </row>
    <row r="10" spans="1:18">
      <c r="A10" s="32" t="s">
        <v>50</v>
      </c>
      <c r="B10" s="37">
        <f t="shared" si="0"/>
        <v>2306.7500203137997</v>
      </c>
      <c r="C10" s="33"/>
      <c r="D10" s="37">
        <f>IF(ISERROR(TER_ander_gas_kWh/1000),0,TER_ander_gas_kWh/1000)*0.902</f>
        <v>1229.9639090592327</v>
      </c>
      <c r="E10" s="33">
        <f>$C$30*'E Balans VL '!I14/100/3.6*1000000</f>
        <v>2.749563594896431</v>
      </c>
      <c r="F10" s="33">
        <f>$C$30*('E Balans VL '!L14+'E Balans VL '!N14)/100/3.6*1000000</f>
        <v>603.54835536538997</v>
      </c>
      <c r="G10" s="34"/>
      <c r="H10" s="33"/>
      <c r="I10" s="33"/>
      <c r="J10" s="33">
        <f>$C$30*('E Balans VL '!D14+'E Balans VL '!E14)/100/3.6*1000000</f>
        <v>5.0070500730606114E-2</v>
      </c>
      <c r="K10" s="33"/>
      <c r="L10" s="33"/>
      <c r="M10" s="33"/>
      <c r="N10" s="33">
        <f>$C$30*'E Balans VL '!Y14/100/3.6*1000000</f>
        <v>1958.8356718720072</v>
      </c>
      <c r="O10" s="33"/>
      <c r="P10" s="33"/>
      <c r="R10" s="32"/>
    </row>
    <row r="11" spans="1:18">
      <c r="A11" s="32" t="s">
        <v>55</v>
      </c>
      <c r="B11" s="37">
        <f t="shared" si="0"/>
        <v>144.881130386416</v>
      </c>
      <c r="C11" s="33"/>
      <c r="D11" s="37">
        <f>IF(ISERROR(TER_onderwijs_gas_kWh/1000),0,TER_onderwijs_gas_kWh/1000)*0.902</f>
        <v>358.42320976323316</v>
      </c>
      <c r="E11" s="33">
        <f>$C$31*'E Balans VL '!I11/100/3.6*1000000</f>
        <v>2.1860229042810411</v>
      </c>
      <c r="F11" s="33">
        <f>$C$31*('E Balans VL '!L11+'E Balans VL '!N11)/100/3.6*1000000</f>
        <v>25.385488588614948</v>
      </c>
      <c r="G11" s="34"/>
      <c r="H11" s="33"/>
      <c r="I11" s="33"/>
      <c r="J11" s="33">
        <f>$C$31*('E Balans VL '!D11+'E Balans VL '!E11)/100/3.6*1000000</f>
        <v>0</v>
      </c>
      <c r="K11" s="33"/>
      <c r="L11" s="33"/>
      <c r="M11" s="33"/>
      <c r="N11" s="33">
        <f>$C$31*'E Balans VL '!Y11/100/3.6*1000000</f>
        <v>0.40770651519035112</v>
      </c>
      <c r="O11" s="33"/>
      <c r="P11" s="33"/>
      <c r="R11" s="32"/>
    </row>
    <row r="12" spans="1:18">
      <c r="A12" s="32" t="s">
        <v>260</v>
      </c>
      <c r="B12" s="37">
        <f t="shared" si="0"/>
        <v>5400.0463322401001</v>
      </c>
      <c r="C12" s="33"/>
      <c r="D12" s="37">
        <f>IF(ISERROR(TER_rest_gas_kWh/1000),0,TER_rest_gas_kWh/1000)*0.902</f>
        <v>9104.9513504292845</v>
      </c>
      <c r="E12" s="33">
        <f>$C$32*'E Balans VL '!I8/100/3.6*1000000</f>
        <v>67.057680114263306</v>
      </c>
      <c r="F12" s="33">
        <f>$C$32*('E Balans VL '!L8+'E Balans VL '!N8)/100/3.6*1000000</f>
        <v>933.80137729713363</v>
      </c>
      <c r="G12" s="34"/>
      <c r="H12" s="33"/>
      <c r="I12" s="33"/>
      <c r="J12" s="33">
        <f>$C$32*('E Balans VL '!D8+'E Balans VL '!E8)/100/3.6*1000000</f>
        <v>1.3076348471886587E-2</v>
      </c>
      <c r="K12" s="33"/>
      <c r="L12" s="33"/>
      <c r="M12" s="33"/>
      <c r="N12" s="33">
        <f>$C$32*'E Balans VL '!Y8/100/3.6*1000000</f>
        <v>522.8900212329786</v>
      </c>
      <c r="O12" s="33"/>
      <c r="P12" s="33"/>
      <c r="R12" s="32"/>
    </row>
    <row r="13" spans="1:18">
      <c r="A13" s="16" t="s">
        <v>488</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17666.35298161113</v>
      </c>
      <c r="C16" s="21">
        <f t="shared" ca="1" si="1"/>
        <v>128.57142857142858</v>
      </c>
      <c r="D16" s="21">
        <f t="shared" ca="1" si="1"/>
        <v>17732.030859067425</v>
      </c>
      <c r="E16" s="21">
        <f t="shared" si="1"/>
        <v>242.47190906930064</v>
      </c>
      <c r="F16" s="21">
        <f t="shared" ca="1" si="1"/>
        <v>3149.1198557043276</v>
      </c>
      <c r="G16" s="21">
        <f t="shared" si="1"/>
        <v>0</v>
      </c>
      <c r="H16" s="21">
        <f t="shared" si="1"/>
        <v>0</v>
      </c>
      <c r="I16" s="21">
        <f t="shared" si="1"/>
        <v>0</v>
      </c>
      <c r="J16" s="21">
        <f t="shared" si="1"/>
        <v>6.3146849202492694E-2</v>
      </c>
      <c r="K16" s="21">
        <f t="shared" si="1"/>
        <v>0</v>
      </c>
      <c r="L16" s="21">
        <f t="shared" ca="1" si="1"/>
        <v>0</v>
      </c>
      <c r="M16" s="21">
        <f t="shared" si="1"/>
        <v>0</v>
      </c>
      <c r="N16" s="21">
        <f t="shared" ca="1" si="1"/>
        <v>2509.8082012592495</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0.19810453256203231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3499.7845994979384</v>
      </c>
      <c r="C20" s="23">
        <f t="shared" ref="C20:P20" ca="1" si="2">C16*C18</f>
        <v>30.554621848739504</v>
      </c>
      <c r="D20" s="23">
        <f t="shared" ca="1" si="2"/>
        <v>3581.8702335316202</v>
      </c>
      <c r="E20" s="23">
        <f t="shared" si="2"/>
        <v>55.041123358731248</v>
      </c>
      <c r="F20" s="23">
        <f t="shared" ca="1" si="2"/>
        <v>840.81500147305553</v>
      </c>
      <c r="G20" s="23">
        <f t="shared" si="2"/>
        <v>0</v>
      </c>
      <c r="H20" s="23">
        <f t="shared" si="2"/>
        <v>0</v>
      </c>
      <c r="I20" s="23">
        <f t="shared" si="2"/>
        <v>0</v>
      </c>
      <c r="J20" s="23">
        <f t="shared" si="2"/>
        <v>2.2353984617682413E-2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2721.1076275446403</v>
      </c>
      <c r="C26" s="39">
        <f>IF(ISERROR(B26*3.6/1000000/'E Balans VL '!Z12*100),0,B26*3.6/1000000/'E Balans VL '!Z12*100)</f>
        <v>5.7519904663624055E-2</v>
      </c>
      <c r="D26" s="237" t="s">
        <v>754</v>
      </c>
      <c r="F26" s="6"/>
    </row>
    <row r="27" spans="1:18">
      <c r="A27" s="231" t="s">
        <v>53</v>
      </c>
      <c r="B27" s="33">
        <f>IF(ISERROR(TER_horeca_ele_kWh/1000),0,TER_horeca_ele_kWh/1000)</f>
        <v>1777.70970019375</v>
      </c>
      <c r="C27" s="39">
        <f>IF(ISERROR(B27*3.6/1000000/'E Balans VL '!Z9*100),0,B27*3.6/1000000/'E Balans VL '!Z9*100)</f>
        <v>0.1401361930800418</v>
      </c>
      <c r="D27" s="237" t="s">
        <v>754</v>
      </c>
      <c r="F27" s="6"/>
    </row>
    <row r="28" spans="1:18">
      <c r="A28" s="171" t="s">
        <v>52</v>
      </c>
      <c r="B28" s="33">
        <f>IF(ISERROR(TER_handel_ele_kWh/1000),0,TER_handel_ele_kWh/1000)</f>
        <v>3995.8246805500598</v>
      </c>
      <c r="C28" s="39">
        <f>IF(ISERROR(B28*3.6/1000000/'E Balans VL '!Z13*100),0,B28*3.6/1000000/'E Balans VL '!Z13*100)</f>
        <v>0.11597497717041134</v>
      </c>
      <c r="D28" s="237" t="s">
        <v>754</v>
      </c>
      <c r="F28" s="6"/>
    </row>
    <row r="29" spans="1:18">
      <c r="A29" s="231" t="s">
        <v>51</v>
      </c>
      <c r="B29" s="33">
        <f>IF(ISERROR(TER_gezond_ele_kWh/1000),0,TER_gezond_ele_kWh/1000)</f>
        <v>1230.03349038236</v>
      </c>
      <c r="C29" s="39">
        <f>IF(ISERROR(B29*3.6/1000000/'E Balans VL '!Z10*100),0,B29*3.6/1000000/'E Balans VL '!Z10*100)</f>
        <v>0.12954272422031538</v>
      </c>
      <c r="D29" s="237" t="s">
        <v>754</v>
      </c>
      <c r="F29" s="6"/>
    </row>
    <row r="30" spans="1:18">
      <c r="A30" s="231" t="s">
        <v>50</v>
      </c>
      <c r="B30" s="33">
        <f>IF(ISERROR(TER_ander_ele_kWh/1000),0,TER_ander_ele_kWh/1000)</f>
        <v>2306.7500203137997</v>
      </c>
      <c r="C30" s="39">
        <f>IF(ISERROR(B30*3.6/1000000/'E Balans VL '!Z14*100),0,B30*3.6/1000000/'E Balans VL '!Z14*100)</f>
        <v>0.17014638252195802</v>
      </c>
      <c r="D30" s="237" t="s">
        <v>754</v>
      </c>
      <c r="F30" s="6"/>
    </row>
    <row r="31" spans="1:18">
      <c r="A31" s="231" t="s">
        <v>55</v>
      </c>
      <c r="B31" s="33">
        <f>IF(ISERROR(TER_onderwijs_ele_kWh/1000),0,TER_onderwijs_ele_kWh/1000)</f>
        <v>144.881130386416</v>
      </c>
      <c r="C31" s="39">
        <f>IF(ISERROR(B31*3.6/1000000/'E Balans VL '!Z11*100),0,B31*3.6/1000000/'E Balans VL '!Z11*100)</f>
        <v>3.5980771306773122E-2</v>
      </c>
      <c r="D31" s="237" t="s">
        <v>754</v>
      </c>
    </row>
    <row r="32" spans="1:18">
      <c r="A32" s="231" t="s">
        <v>260</v>
      </c>
      <c r="B32" s="33">
        <f>IF(ISERROR(TER_rest_ele_kWh/1000),0,TER_rest_ele_kWh/1000)</f>
        <v>5400.0463322401001</v>
      </c>
      <c r="C32" s="39">
        <f>IF(ISERROR(B32*3.6/1000000/'E Balans VL '!Z8*100),0,B32*3.6/1000000/'E Balans VL '!Z8*100)</f>
        <v>4.4435213481459103E-2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2411.4616529356281</v>
      </c>
      <c r="C5" s="17">
        <f>IF(ISERROR('Eigen informatie GS &amp; warmtenet'!B59),0,'Eigen informatie GS &amp; warmtenet'!B59)</f>
        <v>0</v>
      </c>
      <c r="D5" s="30">
        <f>SUM(D6:D15)</f>
        <v>1798.1487591819314</v>
      </c>
      <c r="E5" s="17">
        <f>SUM(E6:E15)</f>
        <v>267.23886182724169</v>
      </c>
      <c r="F5" s="17">
        <f>SUM(F6:F15)</f>
        <v>822.62773516240486</v>
      </c>
      <c r="G5" s="18"/>
      <c r="H5" s="17"/>
      <c r="I5" s="17"/>
      <c r="J5" s="17">
        <f>SUM(J6:J15)</f>
        <v>3.173943637843462</v>
      </c>
      <c r="K5" s="17"/>
      <c r="L5" s="17"/>
      <c r="M5" s="17"/>
      <c r="N5" s="17">
        <f>SUM(N6:N15)</f>
        <v>489.33263937696438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138.93149506600699</v>
      </c>
      <c r="C8" s="33"/>
      <c r="D8" s="37">
        <f>IF( ISERROR(IND_metaal_Gas_kWH/1000),0,IND_metaal_Gas_kWH/1000)*0.902</f>
        <v>0</v>
      </c>
      <c r="E8" s="33">
        <f>C30*'E Balans VL '!I18/100/3.6*1000000</f>
        <v>1.2773409158179316</v>
      </c>
      <c r="F8" s="33">
        <f>C30*'E Balans VL '!L18/100/3.6*1000000+C30*'E Balans VL '!N18/100/3.6*1000000</f>
        <v>13.027148739506629</v>
      </c>
      <c r="G8" s="34"/>
      <c r="H8" s="33"/>
      <c r="I8" s="33"/>
      <c r="J8" s="40">
        <f>C30*'E Balans VL '!D18/100/3.6*1000000+C30*'E Balans VL '!E18/100/3.6*1000000</f>
        <v>0</v>
      </c>
      <c r="K8" s="33"/>
      <c r="L8" s="33"/>
      <c r="M8" s="33"/>
      <c r="N8" s="33">
        <f>C30*'E Balans VL '!Y18/100/3.6*1000000</f>
        <v>1.9820873710806288</v>
      </c>
      <c r="O8" s="33"/>
      <c r="P8" s="33"/>
      <c r="R8" s="32"/>
    </row>
    <row r="9" spans="1:18">
      <c r="A9" s="6" t="s">
        <v>33</v>
      </c>
      <c r="B9" s="37">
        <f t="shared" si="0"/>
        <v>737.67469488462802</v>
      </c>
      <c r="C9" s="33"/>
      <c r="D9" s="37">
        <f>IF( ISERROR(IND_andere_gas_kWh/1000),0,IND_andere_gas_kWh/1000)*0.902</f>
        <v>819.56329254144066</v>
      </c>
      <c r="E9" s="33">
        <f>C31*'E Balans VL '!I19/100/3.6*1000000</f>
        <v>215.63667414723577</v>
      </c>
      <c r="F9" s="33">
        <f>C31*'E Balans VL '!L19/100/3.6*1000000+C31*'E Balans VL '!N19/100/3.6*1000000</f>
        <v>592.77745418358143</v>
      </c>
      <c r="G9" s="34"/>
      <c r="H9" s="33"/>
      <c r="I9" s="33"/>
      <c r="J9" s="40">
        <f>C31*'E Balans VL '!D19/100/3.6*1000000+C31*'E Balans VL '!E19/100/3.6*1000000</f>
        <v>0</v>
      </c>
      <c r="K9" s="33"/>
      <c r="L9" s="33"/>
      <c r="M9" s="33"/>
      <c r="N9" s="33">
        <f>C31*'E Balans VL '!Y19/100/3.6*1000000</f>
        <v>243.73915971326497</v>
      </c>
      <c r="O9" s="33"/>
      <c r="P9" s="33"/>
      <c r="R9" s="32"/>
    </row>
    <row r="10" spans="1:18">
      <c r="A10" s="6" t="s">
        <v>41</v>
      </c>
      <c r="B10" s="37">
        <f t="shared" si="0"/>
        <v>648.27431864407492</v>
      </c>
      <c r="C10" s="33"/>
      <c r="D10" s="37">
        <f>IF( ISERROR(IND_voed_gas_kWh/1000),0,IND_voed_gas_kWh/1000)*0.902</f>
        <v>60.009528137802292</v>
      </c>
      <c r="E10" s="33">
        <f>C32*'E Balans VL '!I20/100/3.6*1000000</f>
        <v>1.3714343727039011</v>
      </c>
      <c r="F10" s="33">
        <f>C32*'E Balans VL '!L20/100/3.6*1000000+C32*'E Balans VL '!N20/100/3.6*1000000</f>
        <v>41.217943372188273</v>
      </c>
      <c r="G10" s="34"/>
      <c r="H10" s="33"/>
      <c r="I10" s="33"/>
      <c r="J10" s="40">
        <f>C32*'E Balans VL '!D20/100/3.6*1000000+C32*'E Balans VL '!E20/100/3.6*1000000</f>
        <v>0</v>
      </c>
      <c r="K10" s="33"/>
      <c r="L10" s="33"/>
      <c r="M10" s="33"/>
      <c r="N10" s="33">
        <f>C32*'E Balans VL '!Y20/100/3.6*1000000</f>
        <v>44.737325313733571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886.58114434091806</v>
      </c>
      <c r="C15" s="33"/>
      <c r="D15" s="37">
        <f>IF( ISERROR(IND_rest_gas_kWh/1000),0,IND_rest_gas_kWh/1000)*0.902</f>
        <v>918.57593850268836</v>
      </c>
      <c r="E15" s="33">
        <f>C37*'E Balans VL '!I15/100/3.6*1000000</f>
        <v>48.953412391484079</v>
      </c>
      <c r="F15" s="33">
        <f>C37*'E Balans VL '!L15/100/3.6*1000000+C37*'E Balans VL '!N15/100/3.6*1000000</f>
        <v>175.60518886712853</v>
      </c>
      <c r="G15" s="34"/>
      <c r="H15" s="33"/>
      <c r="I15" s="33"/>
      <c r="J15" s="40">
        <f>C37*'E Balans VL '!D15/100/3.6*1000000+C37*'E Balans VL '!E15/100/3.6*1000000</f>
        <v>3.173943637843462</v>
      </c>
      <c r="K15" s="33"/>
      <c r="L15" s="33"/>
      <c r="M15" s="33"/>
      <c r="N15" s="33">
        <f>C37*'E Balans VL '!Y15/100/3.6*1000000</f>
        <v>198.87406697888522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2411.4616529356281</v>
      </c>
      <c r="C18" s="21">
        <f>C5+C16</f>
        <v>0</v>
      </c>
      <c r="D18" s="21">
        <f>MAX((D5+D16),0)</f>
        <v>1798.1487591819314</v>
      </c>
      <c r="E18" s="21">
        <f>MAX((E5+E16),0)</f>
        <v>267.23886182724169</v>
      </c>
      <c r="F18" s="21">
        <f>MAX((F5+F16),0)</f>
        <v>822.62773516240486</v>
      </c>
      <c r="G18" s="21"/>
      <c r="H18" s="21"/>
      <c r="I18" s="21"/>
      <c r="J18" s="21">
        <f>MAX((J5+J16),0)</f>
        <v>3.173943637843462</v>
      </c>
      <c r="K18" s="21"/>
      <c r="L18" s="21">
        <f>MAX((L5+L16),0)</f>
        <v>0</v>
      </c>
      <c r="M18" s="21"/>
      <c r="N18" s="21">
        <f>MAX((N5+N16),0)</f>
        <v>489.33263937696438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0.19810453256203231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477.72148354607839</v>
      </c>
      <c r="C22" s="23">
        <f ca="1">C18*C20</f>
        <v>0</v>
      </c>
      <c r="D22" s="23">
        <f>D18*D20</f>
        <v>363.22604935475016</v>
      </c>
      <c r="E22" s="23">
        <f>E18*E20</f>
        <v>60.663221634783866</v>
      </c>
      <c r="F22" s="23">
        <f>F18*F20</f>
        <v>219.64160528836211</v>
      </c>
      <c r="G22" s="23"/>
      <c r="H22" s="23"/>
      <c r="I22" s="23"/>
      <c r="J22" s="23">
        <f>J18*J20</f>
        <v>1.1235760477965855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138.93149506600699</v>
      </c>
      <c r="C30" s="39">
        <f>IF(ISERROR(B30*3.6/1000000/'E Balans VL '!Z18*100),0,B30*3.6/1000000/'E Balans VL '!Z18*100)</f>
        <v>7.873604069044025E-3</v>
      </c>
      <c r="D30" s="237" t="s">
        <v>754</v>
      </c>
    </row>
    <row r="31" spans="1:18">
      <c r="A31" s="6" t="s">
        <v>33</v>
      </c>
      <c r="B31" s="37">
        <f>IF( ISERROR(IND_ander_ele_kWh/1000),0,IND_ander_ele_kWh/1000)</f>
        <v>737.67469488462802</v>
      </c>
      <c r="C31" s="39">
        <f>IF(ISERROR(B31*3.6/1000000/'E Balans VL '!Z19*100),0,B31*3.6/1000000/'E Balans VL '!Z19*100)</f>
        <v>3.3457852535997902E-2</v>
      </c>
      <c r="D31" s="237" t="s">
        <v>754</v>
      </c>
    </row>
    <row r="32" spans="1:18">
      <c r="A32" s="171" t="s">
        <v>41</v>
      </c>
      <c r="B32" s="37">
        <f>IF( ISERROR(IND_voed_ele_kWh/1000),0,IND_voed_ele_kWh/1000)</f>
        <v>648.27431864407492</v>
      </c>
      <c r="C32" s="39">
        <f>IF(ISERROR(B32*3.6/1000000/'E Balans VL '!Z20*100),0,B32*3.6/1000000/'E Balans VL '!Z20*100)</f>
        <v>2.0054067592581239E-2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886.58114434091806</v>
      </c>
      <c r="C37" s="39">
        <f>IF(ISERROR(B37*3.6/1000000/'E Balans VL '!Z15*100),0,B37*3.6/1000000/'E Balans VL '!Z15*100)</f>
        <v>7.027244394099544E-3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832.55268281534404</v>
      </c>
      <c r="C5" s="17">
        <f>'Eigen informatie GS &amp; warmtenet'!B60</f>
        <v>0</v>
      </c>
      <c r="D5" s="30">
        <f>IF(ISERROR(SUM(LB_lb_gas_kWh,LB_rest_gas_kWh)/1000),0,SUM(LB_lb_gas_kWh,LB_rest_gas_kWh)/1000)*0.902</f>
        <v>1398.6494723233839</v>
      </c>
      <c r="E5" s="17">
        <f>B17*'E Balans VL '!I25/3.6*1000000/100</f>
        <v>24.471266257342695</v>
      </c>
      <c r="F5" s="17">
        <f>B17*('E Balans VL '!L25/3.6*1000000+'E Balans VL '!N25/3.6*1000000)/100</f>
        <v>3468.3694878231008</v>
      </c>
      <c r="G5" s="18"/>
      <c r="H5" s="17"/>
      <c r="I5" s="17"/>
      <c r="J5" s="17">
        <f>('E Balans VL '!D25+'E Balans VL '!E25)/3.6*1000000*landbouw!B17/100</f>
        <v>120.61900446641786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832.55268281534404</v>
      </c>
      <c r="C8" s="21">
        <f>C5+C6</f>
        <v>0</v>
      </c>
      <c r="D8" s="21">
        <f>MAX((D5+D6),0)</f>
        <v>1398.6494723233839</v>
      </c>
      <c r="E8" s="21">
        <f>MAX((E5+E6),0)</f>
        <v>24.471266257342695</v>
      </c>
      <c r="F8" s="21">
        <f>MAX((F5+F6),0)</f>
        <v>3468.3694878231008</v>
      </c>
      <c r="G8" s="21"/>
      <c r="H8" s="21"/>
      <c r="I8" s="21"/>
      <c r="J8" s="21">
        <f>MAX((J5+J6),0)</f>
        <v>120.61900446641786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0.19810453256203231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164.93246006239968</v>
      </c>
      <c r="C12" s="23">
        <f ca="1">C8*C10</f>
        <v>0</v>
      </c>
      <c r="D12" s="23">
        <f>D8*D10</f>
        <v>282.52719340932356</v>
      </c>
      <c r="E12" s="23">
        <f>E8*E10</f>
        <v>5.554977440416792</v>
      </c>
      <c r="F12" s="23">
        <f>F8*F10</f>
        <v>926.05465324876798</v>
      </c>
      <c r="G12" s="23"/>
      <c r="H12" s="23"/>
      <c r="I12" s="23"/>
      <c r="J12" s="23">
        <f>J8*J10</f>
        <v>42.699127581111924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0.11814183774588012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144.19974895546622</v>
      </c>
      <c r="C26" s="247">
        <f>B26*'GWP N2O_CH4'!B5</f>
        <v>3028.1947280647905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37.018156743552609</v>
      </c>
      <c r="C27" s="247">
        <f>B27*'GWP N2O_CH4'!B5</f>
        <v>777.38129161460483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1.6733487433269882</v>
      </c>
      <c r="C28" s="247">
        <f>B28*'GWP N2O_CH4'!B4</f>
        <v>518.73811043136641</v>
      </c>
      <c r="D28" s="50"/>
    </row>
    <row r="29" spans="1:4">
      <c r="A29" s="41" t="s">
        <v>277</v>
      </c>
      <c r="B29" s="247">
        <f>B34*'ha_N2O bodem landbouw'!B4</f>
        <v>11.436474161575289</v>
      </c>
      <c r="C29" s="247">
        <f>B29*'GWP N2O_CH4'!B4</f>
        <v>3545.3069900883397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2.6097639918282022E-3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1.8846144147461398E-4</v>
      </c>
      <c r="C5" s="463" t="s">
        <v>211</v>
      </c>
      <c r="D5" s="448">
        <f>SUM(D6:D11)</f>
        <v>7.4768648488456567E-4</v>
      </c>
      <c r="E5" s="448">
        <f>SUM(E6:E11)</f>
        <v>9.9848338047022096E-4</v>
      </c>
      <c r="F5" s="461" t="s">
        <v>211</v>
      </c>
      <c r="G5" s="448">
        <f>SUM(G6:G11)</f>
        <v>0.33675849291774546</v>
      </c>
      <c r="H5" s="448">
        <f>SUM(H6:H11)</f>
        <v>8.4010437013049735E-2</v>
      </c>
      <c r="I5" s="463" t="s">
        <v>211</v>
      </c>
      <c r="J5" s="463" t="s">
        <v>211</v>
      </c>
      <c r="K5" s="463" t="s">
        <v>211</v>
      </c>
      <c r="L5" s="463" t="s">
        <v>211</v>
      </c>
      <c r="M5" s="448">
        <f>SUM(M6:M11)</f>
        <v>2.2153479490287332E-2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9.3698382086802325E-5</v>
      </c>
      <c r="C6" s="449"/>
      <c r="D6" s="892">
        <f>vkm_2011_GW_PW*SUMIFS(TableVerdeelsleutelVkm[CNG],TableVerdeelsleutelVkm[Voertuigtype],"Lichte voertuigen")*SUMIFS(TableECFTransport[EnergieConsumptieFactor (PJ per km)],TableECFTransport[Index],CONCATENATE($A6,"_CNG_CNG"))</f>
        <v>2.8104136828078726E-4</v>
      </c>
      <c r="E6" s="892">
        <f>vkm_2011_GW_PW*SUMIFS(TableVerdeelsleutelVkm[LPG],TableVerdeelsleutelVkm[Voertuigtype],"Lichte voertuigen")*SUMIFS(TableECFTransport[EnergieConsumptieFactor (PJ per km)],TableECFTransport[Index],CONCATENATE($A6,"_LPG_LPG"))</f>
        <v>3.8394287867460385E-4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9.9270028210139513E-2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3.1965221829372441E-2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6.7427708487140907E-3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5.1325957952028371E-2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1.5643109035013256E-5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2.9993158187634592E-3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7.7123437678133536E-5</v>
      </c>
      <c r="C8" s="449"/>
      <c r="D8" s="451">
        <f>vkm_2011_NGW_PW*SUMIFS(TableVerdeelsleutelVkm[CNG],TableVerdeelsleutelVkm[Voertuigtype],"Lichte voertuigen")*SUMIFS(TableECFTransport[EnergieConsumptieFactor (PJ per km)],TableECFTransport[Index],CONCATENATE($A8,"_CNG_CNG"))</f>
        <v>4.1130030511055994E-4</v>
      </c>
      <c r="E8" s="451">
        <f>vkm_2011_NGW_PW*SUMIFS(TableVerdeelsleutelVkm[LPG],TableVerdeelsleutelVkm[Voertuigtype],"Lichte voertuigen")*SUMIFS(TableECFTransport[EnergieConsumptieFactor (PJ per km)],TableECFTransport[Index],CONCATENATE($A8,"_LPG_LPG"))</f>
        <v>5.2037880557927153E-4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0.12538273333987265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4.5460571807210054E-2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8.6664537432262056E-3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2.6799734678338235E-2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7.6894797021066847E-6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1.5660719653892775E-3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1.7639621709678115E-5</v>
      </c>
      <c r="C10" s="449"/>
      <c r="D10" s="451">
        <f>vkm_2011_SW_PW*SUMIFS(TableVerdeelsleutelVkm[CNG],TableVerdeelsleutelVkm[Voertuigtype],"Lichte voertuigen")*SUMIFS(TableECFTransport[EnergieConsumptieFactor (PJ per km)],TableECFTransport[Index],CONCATENATE($A10,"_CNG_CNG"))</f>
        <v>5.5344811493218465E-5</v>
      </c>
      <c r="E10" s="451">
        <f>vkm_2011_SW_PW*SUMIFS(TableVerdeelsleutelVkm[LPG],TableVerdeelsleutelVkm[Voertuigtype],"Lichte voertuigen")*SUMIFS(TableECFTransport[EnergieConsumptieFactor (PJ per km)],TableECFTransport[Index],CONCATENATE($A10,"_LPG_LPG"))</f>
        <v>9.4161696216345597E-5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2.1704484319795592E-2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6.5572705524980703E-3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1.4615163149378834E-3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1.2275554417571046E-2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4.0402352320465366E-6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7.1735079925641318E-4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52.350400409614998</v>
      </c>
      <c r="C14" s="21"/>
      <c r="D14" s="21">
        <f t="shared" ref="D14:M14" si="0">((D5)*10^9/3600)+D12</f>
        <v>207.69069024571269</v>
      </c>
      <c r="E14" s="21">
        <f t="shared" si="0"/>
        <v>277.35649457506139</v>
      </c>
      <c r="F14" s="21"/>
      <c r="G14" s="21">
        <f t="shared" si="0"/>
        <v>93544.025810484847</v>
      </c>
      <c r="H14" s="21">
        <f t="shared" si="0"/>
        <v>23336.232503624928</v>
      </c>
      <c r="I14" s="21"/>
      <c r="J14" s="21"/>
      <c r="K14" s="21"/>
      <c r="L14" s="21"/>
      <c r="M14" s="21">
        <f t="shared" si="0"/>
        <v>6153.7443028575917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0.19810453256203231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10.370851602582004</v>
      </c>
      <c r="C18" s="23"/>
      <c r="D18" s="23">
        <f t="shared" ref="D18:M18" si="1">D14*D16</f>
        <v>41.953519429633964</v>
      </c>
      <c r="E18" s="23">
        <f t="shared" si="1"/>
        <v>62.959924268538934</v>
      </c>
      <c r="F18" s="23"/>
      <c r="G18" s="23">
        <f t="shared" si="1"/>
        <v>24976.254891399454</v>
      </c>
      <c r="H18" s="23">
        <f t="shared" si="1"/>
        <v>5810.7218934026068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3.6322843164855907E-3</v>
      </c>
      <c r="H50" s="321">
        <f t="shared" si="2"/>
        <v>0</v>
      </c>
      <c r="I50" s="321">
        <f t="shared" si="2"/>
        <v>0</v>
      </c>
      <c r="J50" s="321">
        <f t="shared" si="2"/>
        <v>0</v>
      </c>
      <c r="K50" s="321">
        <f t="shared" si="2"/>
        <v>0</v>
      </c>
      <c r="L50" s="321">
        <f t="shared" si="2"/>
        <v>0</v>
      </c>
      <c r="M50" s="321">
        <f t="shared" si="2"/>
        <v>2.0629771417981596E-4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3.6322843164855907E-3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2.0629771417981596E-4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1008.9678656904418</v>
      </c>
      <c r="H54" s="21">
        <f t="shared" si="3"/>
        <v>0</v>
      </c>
      <c r="I54" s="21">
        <f t="shared" si="3"/>
        <v>0</v>
      </c>
      <c r="J54" s="21">
        <f t="shared" si="3"/>
        <v>0</v>
      </c>
      <c r="K54" s="21">
        <f t="shared" si="3"/>
        <v>0</v>
      </c>
      <c r="L54" s="21">
        <f t="shared" si="3"/>
        <v>0</v>
      </c>
      <c r="M54" s="21">
        <f t="shared" si="3"/>
        <v>57.304920605504435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0.19810453256203231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269.39442013934797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18510.458981611129</v>
      </c>
      <c r="D10" s="1013">
        <f ca="1">tertiair!C16</f>
        <v>128.57142857142858</v>
      </c>
      <c r="E10" s="1013">
        <f ca="1">tertiair!D16</f>
        <v>17732.030859067425</v>
      </c>
      <c r="F10" s="1013">
        <f>tertiair!E16</f>
        <v>242.47190906930064</v>
      </c>
      <c r="G10" s="1013">
        <f ca="1">tertiair!F16</f>
        <v>3149.1198557043276</v>
      </c>
      <c r="H10" s="1013">
        <f>tertiair!G16</f>
        <v>0</v>
      </c>
      <c r="I10" s="1013">
        <f>tertiair!H16</f>
        <v>0</v>
      </c>
      <c r="J10" s="1013">
        <f>tertiair!I16</f>
        <v>0</v>
      </c>
      <c r="K10" s="1013">
        <f>tertiair!J16</f>
        <v>6.3146849202492694E-2</v>
      </c>
      <c r="L10" s="1013">
        <f>tertiair!K16</f>
        <v>0</v>
      </c>
      <c r="M10" s="1013">
        <f ca="1">tertiair!L16</f>
        <v>0</v>
      </c>
      <c r="N10" s="1013">
        <f>tertiair!M16</f>
        <v>0</v>
      </c>
      <c r="O10" s="1013">
        <f ca="1">tertiair!N16</f>
        <v>2509.8082012592495</v>
      </c>
      <c r="P10" s="1013">
        <f>tertiair!O16</f>
        <v>3.1266666666666669</v>
      </c>
      <c r="Q10" s="1014">
        <f>tertiair!P16</f>
        <v>57.2</v>
      </c>
      <c r="R10" s="700">
        <f ca="1">SUM(C10:Q10)</f>
        <v>42332.851048798722</v>
      </c>
      <c r="S10" s="67"/>
    </row>
    <row r="11" spans="1:19" s="473" customFormat="1">
      <c r="A11" s="809" t="s">
        <v>225</v>
      </c>
      <c r="B11" s="814"/>
      <c r="C11" s="1013">
        <f>huishoudens!B8</f>
        <v>41094.002875003745</v>
      </c>
      <c r="D11" s="1013">
        <f>huishoudens!C8</f>
        <v>0</v>
      </c>
      <c r="E11" s="1013">
        <f>huishoudens!D8</f>
        <v>56277.795801648193</v>
      </c>
      <c r="F11" s="1013">
        <f>huishoudens!E8</f>
        <v>6991.2211705470299</v>
      </c>
      <c r="G11" s="1013">
        <f>huishoudens!F8</f>
        <v>111392.11976101926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11729.576477278388</v>
      </c>
      <c r="P11" s="1013">
        <f>huishoudens!O8</f>
        <v>398.65000000000003</v>
      </c>
      <c r="Q11" s="1014">
        <f>huishoudens!P8</f>
        <v>1334.6666666666667</v>
      </c>
      <c r="R11" s="700">
        <f>SUM(C11:Q11)</f>
        <v>229218.03275216324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2411.4616529356281</v>
      </c>
      <c r="D13" s="1013">
        <f>industrie!C18</f>
        <v>0</v>
      </c>
      <c r="E13" s="1013">
        <f>industrie!D18</f>
        <v>1798.1487591819314</v>
      </c>
      <c r="F13" s="1013">
        <f>industrie!E18</f>
        <v>267.23886182724169</v>
      </c>
      <c r="G13" s="1013">
        <f>industrie!F18</f>
        <v>822.62773516240486</v>
      </c>
      <c r="H13" s="1013">
        <f>industrie!G18</f>
        <v>0</v>
      </c>
      <c r="I13" s="1013">
        <f>industrie!H18</f>
        <v>0</v>
      </c>
      <c r="J13" s="1013">
        <f>industrie!I18</f>
        <v>0</v>
      </c>
      <c r="K13" s="1013">
        <f>industrie!J18</f>
        <v>3.173943637843462</v>
      </c>
      <c r="L13" s="1013">
        <f>industrie!K18</f>
        <v>0</v>
      </c>
      <c r="M13" s="1013">
        <f>industrie!L18</f>
        <v>0</v>
      </c>
      <c r="N13" s="1013">
        <f>industrie!M18</f>
        <v>0</v>
      </c>
      <c r="O13" s="1013">
        <f>industrie!N18</f>
        <v>489.33263937696438</v>
      </c>
      <c r="P13" s="1013">
        <f>industrie!O18</f>
        <v>0</v>
      </c>
      <c r="Q13" s="1014">
        <f>industrie!P18</f>
        <v>0</v>
      </c>
      <c r="R13" s="700">
        <f>SUM(C13:Q13)</f>
        <v>5791.9835921220147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62015.923509550499</v>
      </c>
      <c r="D16" s="732">
        <f t="shared" ref="D16:R16" ca="1" si="0">SUM(D9:D15)</f>
        <v>128.57142857142858</v>
      </c>
      <c r="E16" s="732">
        <f t="shared" ca="1" si="0"/>
        <v>75807.975419897557</v>
      </c>
      <c r="F16" s="732">
        <f t="shared" si="0"/>
        <v>7500.9319414435722</v>
      </c>
      <c r="G16" s="732">
        <f t="shared" ca="1" si="0"/>
        <v>115363.86735188599</v>
      </c>
      <c r="H16" s="732">
        <f t="shared" si="0"/>
        <v>0</v>
      </c>
      <c r="I16" s="732">
        <f t="shared" si="0"/>
        <v>0</v>
      </c>
      <c r="J16" s="732">
        <f t="shared" si="0"/>
        <v>0</v>
      </c>
      <c r="K16" s="732">
        <f t="shared" si="0"/>
        <v>3.2370904870459549</v>
      </c>
      <c r="L16" s="732">
        <f t="shared" si="0"/>
        <v>0</v>
      </c>
      <c r="M16" s="732">
        <f t="shared" ca="1" si="0"/>
        <v>0</v>
      </c>
      <c r="N16" s="732">
        <f t="shared" si="0"/>
        <v>0</v>
      </c>
      <c r="O16" s="732">
        <f t="shared" ca="1" si="0"/>
        <v>14728.717317914601</v>
      </c>
      <c r="P16" s="732">
        <f t="shared" si="0"/>
        <v>401.7766666666667</v>
      </c>
      <c r="Q16" s="732">
        <f t="shared" si="0"/>
        <v>1391.8666666666668</v>
      </c>
      <c r="R16" s="732">
        <f t="shared" ca="1" si="0"/>
        <v>277342.86739308399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1008.9678656904418</v>
      </c>
      <c r="I19" s="1013">
        <f>transport!H54</f>
        <v>0</v>
      </c>
      <c r="J19" s="1013">
        <f>transport!I54</f>
        <v>0</v>
      </c>
      <c r="K19" s="1013">
        <f>transport!J54</f>
        <v>0</v>
      </c>
      <c r="L19" s="1013">
        <f>transport!K54</f>
        <v>0</v>
      </c>
      <c r="M19" s="1013">
        <f>transport!L54</f>
        <v>0</v>
      </c>
      <c r="N19" s="1013">
        <f>transport!M54</f>
        <v>57.304920605504435</v>
      </c>
      <c r="O19" s="1013">
        <f>transport!N54</f>
        <v>0</v>
      </c>
      <c r="P19" s="1013">
        <f>transport!O54</f>
        <v>0</v>
      </c>
      <c r="Q19" s="1014">
        <f>transport!P54</f>
        <v>0</v>
      </c>
      <c r="R19" s="700">
        <f>SUM(C19:Q19)</f>
        <v>1066.2727862959464</v>
      </c>
      <c r="S19" s="67"/>
    </row>
    <row r="20" spans="1:19" s="473" customFormat="1">
      <c r="A20" s="809" t="s">
        <v>307</v>
      </c>
      <c r="B20" s="814"/>
      <c r="C20" s="1013">
        <f>transport!B14</f>
        <v>52.350400409614998</v>
      </c>
      <c r="D20" s="1013">
        <f>transport!C14</f>
        <v>0</v>
      </c>
      <c r="E20" s="1013">
        <f>transport!D14</f>
        <v>207.69069024571269</v>
      </c>
      <c r="F20" s="1013">
        <f>transport!E14</f>
        <v>277.35649457506139</v>
      </c>
      <c r="G20" s="1013">
        <f>transport!F14</f>
        <v>0</v>
      </c>
      <c r="H20" s="1013">
        <f>transport!G14</f>
        <v>93544.025810484847</v>
      </c>
      <c r="I20" s="1013">
        <f>transport!H14</f>
        <v>23336.232503624928</v>
      </c>
      <c r="J20" s="1013">
        <f>transport!I14</f>
        <v>0</v>
      </c>
      <c r="K20" s="1013">
        <f>transport!J14</f>
        <v>0</v>
      </c>
      <c r="L20" s="1013">
        <f>transport!K14</f>
        <v>0</v>
      </c>
      <c r="M20" s="1013">
        <f>transport!L14</f>
        <v>0</v>
      </c>
      <c r="N20" s="1013">
        <f>transport!M14</f>
        <v>6153.7443028575917</v>
      </c>
      <c r="O20" s="1013">
        <f>transport!N14</f>
        <v>0</v>
      </c>
      <c r="P20" s="1013">
        <f>transport!O14</f>
        <v>0</v>
      </c>
      <c r="Q20" s="1014">
        <f>transport!P14</f>
        <v>0</v>
      </c>
      <c r="R20" s="700">
        <f>SUM(C20:Q20)</f>
        <v>123571.40020219775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52.350400409614998</v>
      </c>
      <c r="D22" s="812">
        <f t="shared" ref="D22:R22" si="1">SUM(D18:D21)</f>
        <v>0</v>
      </c>
      <c r="E22" s="812">
        <f t="shared" si="1"/>
        <v>207.69069024571269</v>
      </c>
      <c r="F22" s="812">
        <f t="shared" si="1"/>
        <v>277.35649457506139</v>
      </c>
      <c r="G22" s="812">
        <f t="shared" si="1"/>
        <v>0</v>
      </c>
      <c r="H22" s="812">
        <f t="shared" si="1"/>
        <v>94552.993676175291</v>
      </c>
      <c r="I22" s="812">
        <f t="shared" si="1"/>
        <v>23336.232503624928</v>
      </c>
      <c r="J22" s="812">
        <f t="shared" si="1"/>
        <v>0</v>
      </c>
      <c r="K22" s="812">
        <f t="shared" si="1"/>
        <v>0</v>
      </c>
      <c r="L22" s="812">
        <f t="shared" si="1"/>
        <v>0</v>
      </c>
      <c r="M22" s="812">
        <f t="shared" si="1"/>
        <v>0</v>
      </c>
      <c r="N22" s="812">
        <f t="shared" si="1"/>
        <v>6211.0492234630965</v>
      </c>
      <c r="O22" s="812">
        <f t="shared" si="1"/>
        <v>0</v>
      </c>
      <c r="P22" s="812">
        <f t="shared" si="1"/>
        <v>0</v>
      </c>
      <c r="Q22" s="812">
        <f t="shared" si="1"/>
        <v>0</v>
      </c>
      <c r="R22" s="812">
        <f t="shared" si="1"/>
        <v>124637.67298849369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832.55268281534404</v>
      </c>
      <c r="D24" s="1013">
        <f>+landbouw!C8</f>
        <v>0</v>
      </c>
      <c r="E24" s="1013">
        <f>+landbouw!D8</f>
        <v>1398.6494723233839</v>
      </c>
      <c r="F24" s="1013">
        <f>+landbouw!E8</f>
        <v>24.471266257342695</v>
      </c>
      <c r="G24" s="1013">
        <f>+landbouw!F8</f>
        <v>3468.3694878231008</v>
      </c>
      <c r="H24" s="1013">
        <f>+landbouw!G8</f>
        <v>0</v>
      </c>
      <c r="I24" s="1013">
        <f>+landbouw!H8</f>
        <v>0</v>
      </c>
      <c r="J24" s="1013">
        <f>+landbouw!I8</f>
        <v>0</v>
      </c>
      <c r="K24" s="1013">
        <f>+landbouw!J8</f>
        <v>120.61900446641786</v>
      </c>
      <c r="L24" s="1013">
        <f>+landbouw!K8</f>
        <v>0</v>
      </c>
      <c r="M24" s="1013">
        <f>+landbouw!L8</f>
        <v>0</v>
      </c>
      <c r="N24" s="1013">
        <f>+landbouw!M8</f>
        <v>0</v>
      </c>
      <c r="O24" s="1013">
        <f>+landbouw!N8</f>
        <v>0</v>
      </c>
      <c r="P24" s="1013">
        <f>+landbouw!O8</f>
        <v>0</v>
      </c>
      <c r="Q24" s="1014">
        <f>+landbouw!P8</f>
        <v>0</v>
      </c>
      <c r="R24" s="700">
        <f>SUM(C24:Q24)</f>
        <v>5844.6619136855898</v>
      </c>
      <c r="S24" s="67"/>
    </row>
    <row r="25" spans="1:19" s="473" customFormat="1" ht="15" thickBot="1">
      <c r="A25" s="831" t="s">
        <v>836</v>
      </c>
      <c r="B25" s="1016"/>
      <c r="C25" s="1017">
        <f>IF(Onbekend_ele_kWh="---",0,Onbekend_ele_kWh)/1000+IF(REST_rest_ele_kWh="---",0,REST_rest_ele_kWh)/1000</f>
        <v>1067.4116269030599</v>
      </c>
      <c r="D25" s="1017"/>
      <c r="E25" s="1017">
        <f>IF(onbekend_gas_kWh="---",0,onbekend_gas_kWh)/1000+IF(REST_rest_gas_kWh="---",0,REST_rest_gas_kWh)/1000</f>
        <v>1979.11469119043</v>
      </c>
      <c r="F25" s="1017"/>
      <c r="G25" s="1017"/>
      <c r="H25" s="1017"/>
      <c r="I25" s="1017"/>
      <c r="J25" s="1017"/>
      <c r="K25" s="1017"/>
      <c r="L25" s="1017"/>
      <c r="M25" s="1017"/>
      <c r="N25" s="1017"/>
      <c r="O25" s="1017"/>
      <c r="P25" s="1017"/>
      <c r="Q25" s="1018"/>
      <c r="R25" s="700">
        <f>SUM(C25:Q25)</f>
        <v>3046.5263180934899</v>
      </c>
      <c r="S25" s="67"/>
    </row>
    <row r="26" spans="1:19" s="473" customFormat="1" ht="15.75" thickBot="1">
      <c r="A26" s="705" t="s">
        <v>837</v>
      </c>
      <c r="B26" s="817"/>
      <c r="C26" s="812">
        <f>SUM(C24:C25)</f>
        <v>1899.9643097184039</v>
      </c>
      <c r="D26" s="812">
        <f t="shared" ref="D26:R26" si="2">SUM(D24:D25)</f>
        <v>0</v>
      </c>
      <c r="E26" s="812">
        <f t="shared" si="2"/>
        <v>3377.7641635138139</v>
      </c>
      <c r="F26" s="812">
        <f t="shared" si="2"/>
        <v>24.471266257342695</v>
      </c>
      <c r="G26" s="812">
        <f t="shared" si="2"/>
        <v>3468.3694878231008</v>
      </c>
      <c r="H26" s="812">
        <f t="shared" si="2"/>
        <v>0</v>
      </c>
      <c r="I26" s="812">
        <f t="shared" si="2"/>
        <v>0</v>
      </c>
      <c r="J26" s="812">
        <f t="shared" si="2"/>
        <v>0</v>
      </c>
      <c r="K26" s="812">
        <f t="shared" si="2"/>
        <v>120.61900446641786</v>
      </c>
      <c r="L26" s="812">
        <f t="shared" si="2"/>
        <v>0</v>
      </c>
      <c r="M26" s="812">
        <f t="shared" si="2"/>
        <v>0</v>
      </c>
      <c r="N26" s="812">
        <f t="shared" si="2"/>
        <v>0</v>
      </c>
      <c r="O26" s="812">
        <f t="shared" si="2"/>
        <v>0</v>
      </c>
      <c r="P26" s="812">
        <f t="shared" si="2"/>
        <v>0</v>
      </c>
      <c r="Q26" s="812">
        <f t="shared" si="2"/>
        <v>0</v>
      </c>
      <c r="R26" s="812">
        <f t="shared" si="2"/>
        <v>8891.1882317790805</v>
      </c>
      <c r="S26" s="67"/>
    </row>
    <row r="27" spans="1:19" s="473" customFormat="1" ht="17.25" thickTop="1" thickBot="1">
      <c r="A27" s="706" t="s">
        <v>116</v>
      </c>
      <c r="B27" s="805"/>
      <c r="C27" s="707">
        <f ca="1">C22+C16+C26</f>
        <v>63968.238219678518</v>
      </c>
      <c r="D27" s="707">
        <f t="shared" ref="D27:R27" ca="1" si="3">D22+D16+D26</f>
        <v>128.57142857142858</v>
      </c>
      <c r="E27" s="707">
        <f t="shared" ca="1" si="3"/>
        <v>79393.430273657083</v>
      </c>
      <c r="F27" s="707">
        <f t="shared" si="3"/>
        <v>7802.7597022759765</v>
      </c>
      <c r="G27" s="707">
        <f t="shared" ca="1" si="3"/>
        <v>118832.23683970909</v>
      </c>
      <c r="H27" s="707">
        <f t="shared" si="3"/>
        <v>94552.993676175291</v>
      </c>
      <c r="I27" s="707">
        <f t="shared" si="3"/>
        <v>23336.232503624928</v>
      </c>
      <c r="J27" s="707">
        <f t="shared" si="3"/>
        <v>0</v>
      </c>
      <c r="K27" s="707">
        <f t="shared" si="3"/>
        <v>123.85609495346382</v>
      </c>
      <c r="L27" s="707">
        <f t="shared" si="3"/>
        <v>0</v>
      </c>
      <c r="M27" s="707">
        <f t="shared" ca="1" si="3"/>
        <v>0</v>
      </c>
      <c r="N27" s="707">
        <f t="shared" si="3"/>
        <v>6211.0492234630965</v>
      </c>
      <c r="O27" s="707">
        <f t="shared" ca="1" si="3"/>
        <v>14728.717317914601</v>
      </c>
      <c r="P27" s="707">
        <f t="shared" si="3"/>
        <v>401.7766666666667</v>
      </c>
      <c r="Q27" s="707">
        <f t="shared" si="3"/>
        <v>1391.8666666666668</v>
      </c>
      <c r="R27" s="707">
        <f t="shared" ca="1" si="3"/>
        <v>410871.72861335677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3667.0058240607455</v>
      </c>
      <c r="D40" s="1013">
        <f ca="1">tertiair!C20</f>
        <v>30.554621848739504</v>
      </c>
      <c r="E40" s="1013">
        <f ca="1">tertiair!D20</f>
        <v>3581.8702335316202</v>
      </c>
      <c r="F40" s="1013">
        <f>tertiair!E20</f>
        <v>55.041123358731248</v>
      </c>
      <c r="G40" s="1013">
        <f ca="1">tertiair!F20</f>
        <v>840.81500147305553</v>
      </c>
      <c r="H40" s="1013">
        <f>tertiair!G20</f>
        <v>0</v>
      </c>
      <c r="I40" s="1013">
        <f>tertiair!H20</f>
        <v>0</v>
      </c>
      <c r="J40" s="1013">
        <f>tertiair!I20</f>
        <v>0</v>
      </c>
      <c r="K40" s="1013">
        <f>tertiair!J20</f>
        <v>2.2353984617682413E-2</v>
      </c>
      <c r="L40" s="1013">
        <f>tertiair!K20</f>
        <v>0</v>
      </c>
      <c r="M40" s="1013">
        <f ca="1">tertiair!L20</f>
        <v>0</v>
      </c>
      <c r="N40" s="1013">
        <f>tertiair!M20</f>
        <v>0</v>
      </c>
      <c r="O40" s="1013">
        <f ca="1">tertiair!N20</f>
        <v>0</v>
      </c>
      <c r="P40" s="1013">
        <f>tertiair!O20</f>
        <v>0</v>
      </c>
      <c r="Q40" s="774">
        <f>tertiair!P20</f>
        <v>0</v>
      </c>
      <c r="R40" s="850">
        <f t="shared" ca="1" si="4"/>
        <v>8175.3091582575089</v>
      </c>
    </row>
    <row r="41" spans="1:18">
      <c r="A41" s="822" t="s">
        <v>225</v>
      </c>
      <c r="B41" s="829"/>
      <c r="C41" s="1013">
        <f ca="1">huishoudens!B12</f>
        <v>8140.9082306554292</v>
      </c>
      <c r="D41" s="1013">
        <f ca="1">huishoudens!C12</f>
        <v>0</v>
      </c>
      <c r="E41" s="1013">
        <f>huishoudens!D12</f>
        <v>11368.114751932935</v>
      </c>
      <c r="F41" s="1013">
        <f>huishoudens!E12</f>
        <v>1587.0072057141758</v>
      </c>
      <c r="G41" s="1013">
        <f>huishoudens!F12</f>
        <v>29741.695976192146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50837.726164494685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477.72148354607839</v>
      </c>
      <c r="D43" s="1013">
        <f ca="1">industrie!C22</f>
        <v>0</v>
      </c>
      <c r="E43" s="1013">
        <f>industrie!D22</f>
        <v>363.22604935475016</v>
      </c>
      <c r="F43" s="1013">
        <f>industrie!E22</f>
        <v>60.663221634783866</v>
      </c>
      <c r="G43" s="1013">
        <f>industrie!F22</f>
        <v>219.64160528836211</v>
      </c>
      <c r="H43" s="1013">
        <f>industrie!G22</f>
        <v>0</v>
      </c>
      <c r="I43" s="1013">
        <f>industrie!H22</f>
        <v>0</v>
      </c>
      <c r="J43" s="1013">
        <f>industrie!I22</f>
        <v>0</v>
      </c>
      <c r="K43" s="1013">
        <f>industrie!J22</f>
        <v>1.1235760477965855</v>
      </c>
      <c r="L43" s="1013">
        <f>industrie!K22</f>
        <v>0</v>
      </c>
      <c r="M43" s="1013">
        <f>industrie!L22</f>
        <v>0</v>
      </c>
      <c r="N43" s="1013">
        <f>industrie!M22</f>
        <v>0</v>
      </c>
      <c r="O43" s="1013">
        <f>industrie!N22</f>
        <v>0</v>
      </c>
      <c r="P43" s="1013">
        <f>industrie!O22</f>
        <v>0</v>
      </c>
      <c r="Q43" s="774">
        <f>industrie!P22</f>
        <v>0</v>
      </c>
      <c r="R43" s="849">
        <f t="shared" ca="1" si="4"/>
        <v>1122.3759358717712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12285.635538262253</v>
      </c>
      <c r="D46" s="732">
        <f t="shared" ref="D46:Q46" ca="1" si="5">SUM(D39:D45)</f>
        <v>30.554621848739504</v>
      </c>
      <c r="E46" s="732">
        <f t="shared" ca="1" si="5"/>
        <v>15313.211034819305</v>
      </c>
      <c r="F46" s="732">
        <f t="shared" si="5"/>
        <v>1702.711550707691</v>
      </c>
      <c r="G46" s="732">
        <f t="shared" ca="1" si="5"/>
        <v>30802.152582953564</v>
      </c>
      <c r="H46" s="732">
        <f t="shared" si="5"/>
        <v>0</v>
      </c>
      <c r="I46" s="732">
        <f t="shared" si="5"/>
        <v>0</v>
      </c>
      <c r="J46" s="732">
        <f t="shared" si="5"/>
        <v>0</v>
      </c>
      <c r="K46" s="732">
        <f t="shared" si="5"/>
        <v>1.1459300324142678</v>
      </c>
      <c r="L46" s="732">
        <f t="shared" si="5"/>
        <v>0</v>
      </c>
      <c r="M46" s="732">
        <f t="shared" ca="1" si="5"/>
        <v>0</v>
      </c>
      <c r="N46" s="732">
        <f t="shared" si="5"/>
        <v>0</v>
      </c>
      <c r="O46" s="732">
        <f t="shared" ca="1" si="5"/>
        <v>0</v>
      </c>
      <c r="P46" s="732">
        <f t="shared" si="5"/>
        <v>0</v>
      </c>
      <c r="Q46" s="732">
        <f t="shared" si="5"/>
        <v>0</v>
      </c>
      <c r="R46" s="732">
        <f ca="1">SUM(R39:R45)</f>
        <v>60135.411258623964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269.39442013934797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269.39442013934797</v>
      </c>
    </row>
    <row r="50" spans="1:18">
      <c r="A50" s="825" t="s">
        <v>307</v>
      </c>
      <c r="B50" s="835"/>
      <c r="C50" s="703">
        <f ca="1">transport!B18</f>
        <v>10.370851602582004</v>
      </c>
      <c r="D50" s="703">
        <f>transport!C18</f>
        <v>0</v>
      </c>
      <c r="E50" s="703">
        <f>transport!D18</f>
        <v>41.953519429633964</v>
      </c>
      <c r="F50" s="703">
        <f>transport!E18</f>
        <v>62.959924268538934</v>
      </c>
      <c r="G50" s="703">
        <f>transport!F18</f>
        <v>0</v>
      </c>
      <c r="H50" s="703">
        <f>transport!G18</f>
        <v>24976.254891399454</v>
      </c>
      <c r="I50" s="703">
        <f>transport!H18</f>
        <v>5810.7218934026068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30902.261080102817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10.370851602582004</v>
      </c>
      <c r="D52" s="732">
        <f t="shared" ref="D52:Q52" ca="1" si="6">SUM(D48:D51)</f>
        <v>0</v>
      </c>
      <c r="E52" s="732">
        <f t="shared" si="6"/>
        <v>41.953519429633964</v>
      </c>
      <c r="F52" s="732">
        <f t="shared" si="6"/>
        <v>62.959924268538934</v>
      </c>
      <c r="G52" s="732">
        <f t="shared" si="6"/>
        <v>0</v>
      </c>
      <c r="H52" s="732">
        <f t="shared" si="6"/>
        <v>25245.649311538804</v>
      </c>
      <c r="I52" s="732">
        <f t="shared" si="6"/>
        <v>5810.7218934026068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31171.655500242166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164.93246006239968</v>
      </c>
      <c r="D54" s="703">
        <f ca="1">+landbouw!C12</f>
        <v>0</v>
      </c>
      <c r="E54" s="703">
        <f>+landbouw!D12</f>
        <v>282.52719340932356</v>
      </c>
      <c r="F54" s="703">
        <f>+landbouw!E12</f>
        <v>5.554977440416792</v>
      </c>
      <c r="G54" s="703">
        <f>+landbouw!F12</f>
        <v>926.05465324876798</v>
      </c>
      <c r="H54" s="703">
        <f>+landbouw!G12</f>
        <v>0</v>
      </c>
      <c r="I54" s="703">
        <f>+landbouw!H12</f>
        <v>0</v>
      </c>
      <c r="J54" s="703">
        <f>+landbouw!I12</f>
        <v>0</v>
      </c>
      <c r="K54" s="703">
        <f>+landbouw!J12</f>
        <v>42.699127581111924</v>
      </c>
      <c r="L54" s="703">
        <f>+landbouw!K12</f>
        <v>0</v>
      </c>
      <c r="M54" s="703">
        <f>+landbouw!L12</f>
        <v>0</v>
      </c>
      <c r="N54" s="703">
        <f>+landbouw!M12</f>
        <v>0</v>
      </c>
      <c r="O54" s="703">
        <f>+landbouw!N12</f>
        <v>0</v>
      </c>
      <c r="P54" s="703">
        <f>+landbouw!O12</f>
        <v>0</v>
      </c>
      <c r="Q54" s="704">
        <f>+landbouw!P12</f>
        <v>0</v>
      </c>
      <c r="R54" s="731">
        <f ca="1">SUM(C54:Q54)</f>
        <v>1421.7684117420199</v>
      </c>
    </row>
    <row r="55" spans="1:18" ht="15" thickBot="1">
      <c r="A55" s="825" t="s">
        <v>836</v>
      </c>
      <c r="B55" s="835"/>
      <c r="C55" s="703">
        <f ca="1">C25*'EF ele_warmte'!B12</f>
        <v>211.45908139890912</v>
      </c>
      <c r="D55" s="703"/>
      <c r="E55" s="703">
        <f>E25*EF_CO2_aardgas</f>
        <v>399.78116762046687</v>
      </c>
      <c r="F55" s="703"/>
      <c r="G55" s="703"/>
      <c r="H55" s="703"/>
      <c r="I55" s="703"/>
      <c r="J55" s="703"/>
      <c r="K55" s="703"/>
      <c r="L55" s="703"/>
      <c r="M55" s="703"/>
      <c r="N55" s="703"/>
      <c r="O55" s="703"/>
      <c r="P55" s="703"/>
      <c r="Q55" s="704"/>
      <c r="R55" s="731">
        <f ca="1">SUM(C55:Q55)</f>
        <v>611.24024901937605</v>
      </c>
    </row>
    <row r="56" spans="1:18" ht="15.75" thickBot="1">
      <c r="A56" s="823" t="s">
        <v>837</v>
      </c>
      <c r="B56" s="836"/>
      <c r="C56" s="732">
        <f ca="1">SUM(C54:C55)</f>
        <v>376.3915414613088</v>
      </c>
      <c r="D56" s="732">
        <f t="shared" ref="D56:Q56" ca="1" si="7">SUM(D54:D55)</f>
        <v>0</v>
      </c>
      <c r="E56" s="732">
        <f t="shared" si="7"/>
        <v>682.30836102979038</v>
      </c>
      <c r="F56" s="732">
        <f t="shared" si="7"/>
        <v>5.554977440416792</v>
      </c>
      <c r="G56" s="732">
        <f t="shared" si="7"/>
        <v>926.05465324876798</v>
      </c>
      <c r="H56" s="732">
        <f t="shared" si="7"/>
        <v>0</v>
      </c>
      <c r="I56" s="732">
        <f t="shared" si="7"/>
        <v>0</v>
      </c>
      <c r="J56" s="732">
        <f t="shared" si="7"/>
        <v>0</v>
      </c>
      <c r="K56" s="732">
        <f t="shared" si="7"/>
        <v>42.699127581111924</v>
      </c>
      <c r="L56" s="732">
        <f t="shared" si="7"/>
        <v>0</v>
      </c>
      <c r="M56" s="732">
        <f t="shared" si="7"/>
        <v>0</v>
      </c>
      <c r="N56" s="732">
        <f t="shared" si="7"/>
        <v>0</v>
      </c>
      <c r="O56" s="732">
        <f t="shared" si="7"/>
        <v>0</v>
      </c>
      <c r="P56" s="732">
        <f t="shared" si="7"/>
        <v>0</v>
      </c>
      <c r="Q56" s="733">
        <f t="shared" si="7"/>
        <v>0</v>
      </c>
      <c r="R56" s="734">
        <f ca="1">SUM(R54:R55)</f>
        <v>2033.008660761396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12672.397931326144</v>
      </c>
      <c r="D61" s="740">
        <f t="shared" ref="D61:Q61" ca="1" si="8">D46+D52+D56</f>
        <v>30.554621848739504</v>
      </c>
      <c r="E61" s="740">
        <f t="shared" ca="1" si="8"/>
        <v>16037.472915278729</v>
      </c>
      <c r="F61" s="740">
        <f t="shared" si="8"/>
        <v>1771.2264524166467</v>
      </c>
      <c r="G61" s="740">
        <f t="shared" ca="1" si="8"/>
        <v>31728.207236202332</v>
      </c>
      <c r="H61" s="740">
        <f t="shared" si="8"/>
        <v>25245.649311538804</v>
      </c>
      <c r="I61" s="740">
        <f t="shared" si="8"/>
        <v>5810.7218934026068</v>
      </c>
      <c r="J61" s="740">
        <f t="shared" si="8"/>
        <v>0</v>
      </c>
      <c r="K61" s="740">
        <f t="shared" si="8"/>
        <v>43.845057613526194</v>
      </c>
      <c r="L61" s="740">
        <f t="shared" si="8"/>
        <v>0</v>
      </c>
      <c r="M61" s="740">
        <f t="shared" ca="1" si="8"/>
        <v>0</v>
      </c>
      <c r="N61" s="740">
        <f t="shared" si="8"/>
        <v>0</v>
      </c>
      <c r="O61" s="740">
        <f t="shared" ca="1" si="8"/>
        <v>0</v>
      </c>
      <c r="P61" s="740">
        <f t="shared" si="8"/>
        <v>0</v>
      </c>
      <c r="Q61" s="740">
        <f t="shared" si="8"/>
        <v>0</v>
      </c>
      <c r="R61" s="740">
        <f ca="1">R46+R52+R56</f>
        <v>93340.075419627523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0.19810453256203234</v>
      </c>
      <c r="D63" s="781">
        <f t="shared" ca="1" si="9"/>
        <v>0.23764705882352946</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6633.8504548277288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90</v>
      </c>
      <c r="D76" s="1034">
        <f>'lokale energieproductie'!C8</f>
        <v>105.88235294117648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21.388235294117649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6633.8504548277288</v>
      </c>
      <c r="C78" s="755">
        <f>SUM(C72:C77)</f>
        <v>90</v>
      </c>
      <c r="D78" s="756">
        <f t="shared" ref="D78:H78" si="10">SUM(D76:D77)</f>
        <v>105.88235294117648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21.388235294117649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128.57142857142858</v>
      </c>
      <c r="D87" s="777">
        <f>'lokale energieproductie'!C17</f>
        <v>151.2605042016807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30.554621848739504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128.57142857142858</v>
      </c>
      <c r="D90" s="755">
        <f t="shared" ref="D90:H90" si="12">SUM(D87:D89)</f>
        <v>151.2605042016807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6633.8504548277288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v>
      </c>
      <c r="C8" s="570">
        <f>B101</f>
        <v>105.88235294117648</v>
      </c>
      <c r="D8" s="1044"/>
      <c r="E8" s="1044">
        <f>E101</f>
        <v>0</v>
      </c>
      <c r="F8" s="1045"/>
      <c r="G8" s="571"/>
      <c r="H8" s="1044">
        <f>I101</f>
        <v>0</v>
      </c>
      <c r="I8" s="1044">
        <f>G101+F101</f>
        <v>0</v>
      </c>
      <c r="J8" s="1044">
        <f>H101+D101+C101</f>
        <v>0</v>
      </c>
      <c r="K8" s="1044"/>
      <c r="L8" s="1044"/>
      <c r="M8" s="1044"/>
      <c r="N8" s="572"/>
      <c r="O8" s="573">
        <f>C8*$C$12+D8*$D$12+E8*$E$12+F8*$F$12+G8*$G$12+H8*$H$12+I8*$I$12+J8*$J$12</f>
        <v>21.388235294117649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6723.8504548277288</v>
      </c>
      <c r="C10" s="583">
        <f t="shared" ref="C10:L10" si="0">SUM(C8:C9)</f>
        <v>105.88235294117648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21.388235294117649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128.57142857142858</v>
      </c>
      <c r="C17" s="595">
        <f>B102</f>
        <v>151.2605042016807</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30.554621848739504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128.57142857142858</v>
      </c>
      <c r="C20" s="582">
        <f>SUM(C17:C19)</f>
        <v>151.2605042016807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24134</v>
      </c>
      <c r="C28" s="796">
        <v>3271</v>
      </c>
      <c r="D28" s="653" t="s">
        <v>881</v>
      </c>
      <c r="E28" s="652" t="s">
        <v>882</v>
      </c>
      <c r="F28" s="652" t="s">
        <v>883</v>
      </c>
      <c r="G28" s="652" t="s">
        <v>884</v>
      </c>
      <c r="H28" s="652" t="s">
        <v>885</v>
      </c>
      <c r="I28" s="652" t="s">
        <v>882</v>
      </c>
      <c r="J28" s="795">
        <v>41523</v>
      </c>
      <c r="K28" s="795">
        <v>41520</v>
      </c>
      <c r="L28" s="652" t="s">
        <v>886</v>
      </c>
      <c r="M28" s="652">
        <v>20</v>
      </c>
      <c r="N28" s="652">
        <v>90</v>
      </c>
      <c r="O28" s="652">
        <v>128.57142857142858</v>
      </c>
      <c r="P28" s="652">
        <v>257.14285714285717</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v>
      </c>
      <c r="N58" s="610">
        <f>SUM(N28:N57)</f>
        <v>90</v>
      </c>
      <c r="O58" s="610">
        <f t="shared" ref="O58:W58" si="2">SUM(O28:O57)</f>
        <v>128.57142857142858</v>
      </c>
      <c r="P58" s="610">
        <f t="shared" si="2"/>
        <v>257.14285714285717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v>
      </c>
      <c r="N60" s="610">
        <f ca="1">SUMIF($Z$28:AD57,"tertiair",N28:N57)</f>
        <v>90</v>
      </c>
      <c r="O60" s="610">
        <f ca="1">SUMIF($Z$28:AE57,"tertiair",O28:O57)</f>
        <v>128.57142857142858</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41094.002875003745</v>
      </c>
      <c r="C4" s="477">
        <f>huishoudens!C8</f>
        <v>0</v>
      </c>
      <c r="D4" s="477">
        <f>huishoudens!D8</f>
        <v>56277.795801648193</v>
      </c>
      <c r="E4" s="477">
        <f>huishoudens!E8</f>
        <v>6991.2211705470299</v>
      </c>
      <c r="F4" s="477">
        <f>huishoudens!F8</f>
        <v>111392.11976101926</v>
      </c>
      <c r="G4" s="477">
        <f>huishoudens!G8</f>
        <v>0</v>
      </c>
      <c r="H4" s="477">
        <f>huishoudens!H8</f>
        <v>0</v>
      </c>
      <c r="I4" s="477">
        <f>huishoudens!I8</f>
        <v>0</v>
      </c>
      <c r="J4" s="477">
        <f>huishoudens!J8</f>
        <v>0</v>
      </c>
      <c r="K4" s="477">
        <f>huishoudens!K8</f>
        <v>0</v>
      </c>
      <c r="L4" s="477">
        <f>huishoudens!L8</f>
        <v>0</v>
      </c>
      <c r="M4" s="477">
        <f>huishoudens!M8</f>
        <v>0</v>
      </c>
      <c r="N4" s="477">
        <f>huishoudens!N8</f>
        <v>11729.576477278388</v>
      </c>
      <c r="O4" s="477">
        <f>huishoudens!O8</f>
        <v>398.65000000000003</v>
      </c>
      <c r="P4" s="478">
        <f>huishoudens!P8</f>
        <v>1334.6666666666667</v>
      </c>
      <c r="Q4" s="479">
        <f>SUM(B4:P4)</f>
        <v>229218.03275216324</v>
      </c>
    </row>
    <row r="5" spans="1:17">
      <c r="A5" s="476" t="s">
        <v>156</v>
      </c>
      <c r="B5" s="477">
        <f ca="1">tertiair!B16</f>
        <v>17666.35298161113</v>
      </c>
      <c r="C5" s="477">
        <f ca="1">tertiair!C16</f>
        <v>128.57142857142858</v>
      </c>
      <c r="D5" s="477">
        <f ca="1">tertiair!D16</f>
        <v>17732.030859067425</v>
      </c>
      <c r="E5" s="477">
        <f>tertiair!E16</f>
        <v>242.47190906930064</v>
      </c>
      <c r="F5" s="477">
        <f ca="1">tertiair!F16</f>
        <v>3149.1198557043276</v>
      </c>
      <c r="G5" s="477">
        <f>tertiair!G16</f>
        <v>0</v>
      </c>
      <c r="H5" s="477">
        <f>tertiair!H16</f>
        <v>0</v>
      </c>
      <c r="I5" s="477">
        <f>tertiair!I16</f>
        <v>0</v>
      </c>
      <c r="J5" s="477">
        <f>tertiair!J16</f>
        <v>6.3146849202492694E-2</v>
      </c>
      <c r="K5" s="477">
        <f>tertiair!K16</f>
        <v>0</v>
      </c>
      <c r="L5" s="477">
        <f ca="1">tertiair!L16</f>
        <v>0</v>
      </c>
      <c r="M5" s="477">
        <f>tertiair!M16</f>
        <v>0</v>
      </c>
      <c r="N5" s="477">
        <f ca="1">tertiair!N16</f>
        <v>2509.8082012592495</v>
      </c>
      <c r="O5" s="477">
        <f>tertiair!O16</f>
        <v>3.1266666666666669</v>
      </c>
      <c r="P5" s="478">
        <f>tertiair!P16</f>
        <v>57.2</v>
      </c>
      <c r="Q5" s="476">
        <f t="shared" ref="Q5:Q14" ca="1" si="0">SUM(B5:P5)</f>
        <v>41488.745048798723</v>
      </c>
    </row>
    <row r="6" spans="1:17">
      <c r="A6" s="476" t="s">
        <v>194</v>
      </c>
      <c r="B6" s="477">
        <f>'openbare verlichting'!B8</f>
        <v>844.10599999999999</v>
      </c>
      <c r="C6" s="477"/>
      <c r="D6" s="477"/>
      <c r="E6" s="477"/>
      <c r="F6" s="477"/>
      <c r="G6" s="477"/>
      <c r="H6" s="477"/>
      <c r="I6" s="477"/>
      <c r="J6" s="477"/>
      <c r="K6" s="477"/>
      <c r="L6" s="477"/>
      <c r="M6" s="477"/>
      <c r="N6" s="477"/>
      <c r="O6" s="477"/>
      <c r="P6" s="478"/>
      <c r="Q6" s="476">
        <f t="shared" si="0"/>
        <v>844.10599999999999</v>
      </c>
    </row>
    <row r="7" spans="1:17">
      <c r="A7" s="476" t="s">
        <v>112</v>
      </c>
      <c r="B7" s="477">
        <f>landbouw!B8</f>
        <v>832.55268281534404</v>
      </c>
      <c r="C7" s="477">
        <f>landbouw!C8</f>
        <v>0</v>
      </c>
      <c r="D7" s="477">
        <f>landbouw!D8</f>
        <v>1398.6494723233839</v>
      </c>
      <c r="E7" s="477">
        <f>landbouw!E8</f>
        <v>24.471266257342695</v>
      </c>
      <c r="F7" s="477">
        <f>landbouw!F8</f>
        <v>3468.3694878231008</v>
      </c>
      <c r="G7" s="477">
        <f>landbouw!G8</f>
        <v>0</v>
      </c>
      <c r="H7" s="477">
        <f>landbouw!H8</f>
        <v>0</v>
      </c>
      <c r="I7" s="477">
        <f>landbouw!I8</f>
        <v>0</v>
      </c>
      <c r="J7" s="477">
        <f>landbouw!J8</f>
        <v>120.61900446641786</v>
      </c>
      <c r="K7" s="477">
        <f>landbouw!K8</f>
        <v>0</v>
      </c>
      <c r="L7" s="477">
        <f>landbouw!L8</f>
        <v>0</v>
      </c>
      <c r="M7" s="477">
        <f>landbouw!M8</f>
        <v>0</v>
      </c>
      <c r="N7" s="477">
        <f>landbouw!N8</f>
        <v>0</v>
      </c>
      <c r="O7" s="477">
        <f>landbouw!O8</f>
        <v>0</v>
      </c>
      <c r="P7" s="478">
        <f>landbouw!P8</f>
        <v>0</v>
      </c>
      <c r="Q7" s="476">
        <f t="shared" si="0"/>
        <v>5844.6619136855898</v>
      </c>
    </row>
    <row r="8" spans="1:17">
      <c r="A8" s="476" t="s">
        <v>635</v>
      </c>
      <c r="B8" s="477">
        <f>industrie!B18</f>
        <v>2411.4616529356281</v>
      </c>
      <c r="C8" s="477">
        <f>industrie!C18</f>
        <v>0</v>
      </c>
      <c r="D8" s="477">
        <f>industrie!D18</f>
        <v>1798.1487591819314</v>
      </c>
      <c r="E8" s="477">
        <f>industrie!E18</f>
        <v>267.23886182724169</v>
      </c>
      <c r="F8" s="477">
        <f>industrie!F18</f>
        <v>822.62773516240486</v>
      </c>
      <c r="G8" s="477">
        <f>industrie!G18</f>
        <v>0</v>
      </c>
      <c r="H8" s="477">
        <f>industrie!H18</f>
        <v>0</v>
      </c>
      <c r="I8" s="477">
        <f>industrie!I18</f>
        <v>0</v>
      </c>
      <c r="J8" s="477">
        <f>industrie!J18</f>
        <v>3.173943637843462</v>
      </c>
      <c r="K8" s="477">
        <f>industrie!K18</f>
        <v>0</v>
      </c>
      <c r="L8" s="477">
        <f>industrie!L18</f>
        <v>0</v>
      </c>
      <c r="M8" s="477">
        <f>industrie!M18</f>
        <v>0</v>
      </c>
      <c r="N8" s="477">
        <f>industrie!N18</f>
        <v>489.33263937696438</v>
      </c>
      <c r="O8" s="477">
        <f>industrie!O18</f>
        <v>0</v>
      </c>
      <c r="P8" s="478">
        <f>industrie!P18</f>
        <v>0</v>
      </c>
      <c r="Q8" s="476">
        <f t="shared" si="0"/>
        <v>5791.9835921220147</v>
      </c>
    </row>
    <row r="9" spans="1:17" s="482" customFormat="1">
      <c r="A9" s="480" t="s">
        <v>561</v>
      </c>
      <c r="B9" s="481">
        <f>transport!B14</f>
        <v>52.350400409614998</v>
      </c>
      <c r="C9" s="481">
        <f>transport!C14</f>
        <v>0</v>
      </c>
      <c r="D9" s="481">
        <f>transport!D14</f>
        <v>207.69069024571269</v>
      </c>
      <c r="E9" s="481">
        <f>transport!E14</f>
        <v>277.35649457506139</v>
      </c>
      <c r="F9" s="481">
        <f>transport!F14</f>
        <v>0</v>
      </c>
      <c r="G9" s="481">
        <f>transport!G14</f>
        <v>93544.025810484847</v>
      </c>
      <c r="H9" s="481">
        <f>transport!H14</f>
        <v>23336.232503624928</v>
      </c>
      <c r="I9" s="481">
        <f>transport!I14</f>
        <v>0</v>
      </c>
      <c r="J9" s="481">
        <f>transport!J14</f>
        <v>0</v>
      </c>
      <c r="K9" s="481">
        <f>transport!K14</f>
        <v>0</v>
      </c>
      <c r="L9" s="481">
        <f>transport!L14</f>
        <v>0</v>
      </c>
      <c r="M9" s="481">
        <f>transport!M14</f>
        <v>6153.7443028575917</v>
      </c>
      <c r="N9" s="481">
        <f>transport!N14</f>
        <v>0</v>
      </c>
      <c r="O9" s="481">
        <f>transport!O14</f>
        <v>0</v>
      </c>
      <c r="P9" s="481">
        <f>transport!P14</f>
        <v>0</v>
      </c>
      <c r="Q9" s="480">
        <f>SUM(B9:P9)</f>
        <v>123571.40020219775</v>
      </c>
    </row>
    <row r="10" spans="1:17">
      <c r="A10" s="476" t="s">
        <v>551</v>
      </c>
      <c r="B10" s="477">
        <f>transport!B54</f>
        <v>0</v>
      </c>
      <c r="C10" s="477">
        <f>transport!C54</f>
        <v>0</v>
      </c>
      <c r="D10" s="477">
        <f>transport!D54</f>
        <v>0</v>
      </c>
      <c r="E10" s="477">
        <f>transport!E54</f>
        <v>0</v>
      </c>
      <c r="F10" s="477">
        <f>transport!F54</f>
        <v>0</v>
      </c>
      <c r="G10" s="477">
        <f>transport!G54</f>
        <v>1008.9678656904418</v>
      </c>
      <c r="H10" s="477">
        <f>transport!H54</f>
        <v>0</v>
      </c>
      <c r="I10" s="477">
        <f>transport!I54</f>
        <v>0</v>
      </c>
      <c r="J10" s="477">
        <f>transport!J54</f>
        <v>0</v>
      </c>
      <c r="K10" s="477">
        <f>transport!K54</f>
        <v>0</v>
      </c>
      <c r="L10" s="477">
        <f>transport!L54</f>
        <v>0</v>
      </c>
      <c r="M10" s="477">
        <f>transport!M54</f>
        <v>57.304920605504435</v>
      </c>
      <c r="N10" s="477">
        <f>transport!N54</f>
        <v>0</v>
      </c>
      <c r="O10" s="477">
        <f>transport!O54</f>
        <v>0</v>
      </c>
      <c r="P10" s="478">
        <f>transport!P54</f>
        <v>0</v>
      </c>
      <c r="Q10" s="476">
        <f t="shared" si="0"/>
        <v>1066.2727862959464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1067.4116269030599</v>
      </c>
      <c r="C14" s="484"/>
      <c r="D14" s="484">
        <f>'SEAP template'!E25</f>
        <v>1979.11469119043</v>
      </c>
      <c r="E14" s="484"/>
      <c r="F14" s="484"/>
      <c r="G14" s="484"/>
      <c r="H14" s="484"/>
      <c r="I14" s="484"/>
      <c r="J14" s="484"/>
      <c r="K14" s="484"/>
      <c r="L14" s="484"/>
      <c r="M14" s="484"/>
      <c r="N14" s="484"/>
      <c r="O14" s="484"/>
      <c r="P14" s="485"/>
      <c r="Q14" s="476">
        <f t="shared" si="0"/>
        <v>3046.5263180934899</v>
      </c>
    </row>
    <row r="15" spans="1:17" s="486" customFormat="1">
      <c r="A15" s="1039" t="s">
        <v>555</v>
      </c>
      <c r="B15" s="987">
        <f ca="1">SUM(B4:B14)</f>
        <v>63968.238219678518</v>
      </c>
      <c r="C15" s="987">
        <f t="shared" ref="C15:Q15" ca="1" si="1">SUM(C4:C14)</f>
        <v>128.57142857142858</v>
      </c>
      <c r="D15" s="987">
        <f t="shared" ca="1" si="1"/>
        <v>79393.430273657083</v>
      </c>
      <c r="E15" s="987">
        <f t="shared" si="1"/>
        <v>7802.7597022759765</v>
      </c>
      <c r="F15" s="987">
        <f t="shared" ca="1" si="1"/>
        <v>118832.23683970909</v>
      </c>
      <c r="G15" s="987">
        <f t="shared" si="1"/>
        <v>94552.993676175291</v>
      </c>
      <c r="H15" s="987">
        <f t="shared" si="1"/>
        <v>23336.232503624928</v>
      </c>
      <c r="I15" s="987">
        <f t="shared" si="1"/>
        <v>0</v>
      </c>
      <c r="J15" s="987">
        <f t="shared" si="1"/>
        <v>123.85609495346382</v>
      </c>
      <c r="K15" s="987">
        <f t="shared" si="1"/>
        <v>0</v>
      </c>
      <c r="L15" s="987">
        <f t="shared" ca="1" si="1"/>
        <v>0</v>
      </c>
      <c r="M15" s="987">
        <f t="shared" si="1"/>
        <v>6211.0492234630965</v>
      </c>
      <c r="N15" s="987">
        <f t="shared" ca="1" si="1"/>
        <v>14728.717317914601</v>
      </c>
      <c r="O15" s="987">
        <f t="shared" si="1"/>
        <v>401.7766666666667</v>
      </c>
      <c r="P15" s="987">
        <f t="shared" si="1"/>
        <v>1391.8666666666668</v>
      </c>
      <c r="Q15" s="987">
        <f t="shared" ca="1" si="1"/>
        <v>410871.72861335689</v>
      </c>
    </row>
    <row r="17" spans="1:17">
      <c r="A17" s="487" t="s">
        <v>556</v>
      </c>
      <c r="B17" s="786">
        <f ca="1">huishoudens!B10</f>
        <v>0.19810453256203231</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8140.9082306554292</v>
      </c>
      <c r="C22" s="477">
        <f t="shared" ref="C22:C32" ca="1" si="3">C4*$C$17</f>
        <v>0</v>
      </c>
      <c r="D22" s="477">
        <f t="shared" ref="D22:D32" si="4">D4*$D$17</f>
        <v>11368.114751932935</v>
      </c>
      <c r="E22" s="477">
        <f t="shared" ref="E22:E32" si="5">E4*$E$17</f>
        <v>1587.0072057141758</v>
      </c>
      <c r="F22" s="477">
        <f t="shared" ref="F22:F32" si="6">F4*$F$17</f>
        <v>29741.695976192146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50837.726164494685</v>
      </c>
    </row>
    <row r="23" spans="1:17">
      <c r="A23" s="476" t="s">
        <v>156</v>
      </c>
      <c r="B23" s="477">
        <f t="shared" ca="1" si="2"/>
        <v>3499.7845994979384</v>
      </c>
      <c r="C23" s="477">
        <f t="shared" ca="1" si="3"/>
        <v>30.554621848739504</v>
      </c>
      <c r="D23" s="477">
        <f t="shared" ca="1" si="4"/>
        <v>3581.8702335316202</v>
      </c>
      <c r="E23" s="477">
        <f t="shared" si="5"/>
        <v>55.041123358731248</v>
      </c>
      <c r="F23" s="477">
        <f t="shared" ca="1" si="6"/>
        <v>840.81500147305553</v>
      </c>
      <c r="G23" s="477">
        <f t="shared" si="7"/>
        <v>0</v>
      </c>
      <c r="H23" s="477">
        <f t="shared" si="8"/>
        <v>0</v>
      </c>
      <c r="I23" s="477">
        <f t="shared" si="9"/>
        <v>0</v>
      </c>
      <c r="J23" s="477">
        <f t="shared" si="10"/>
        <v>2.2353984617682413E-2</v>
      </c>
      <c r="K23" s="477">
        <f t="shared" si="11"/>
        <v>0</v>
      </c>
      <c r="L23" s="477">
        <f t="shared" ca="1" si="12"/>
        <v>0</v>
      </c>
      <c r="M23" s="477">
        <f t="shared" si="13"/>
        <v>0</v>
      </c>
      <c r="N23" s="477">
        <f t="shared" ca="1" si="14"/>
        <v>0</v>
      </c>
      <c r="O23" s="477">
        <f t="shared" si="15"/>
        <v>0</v>
      </c>
      <c r="P23" s="478">
        <f t="shared" si="16"/>
        <v>0</v>
      </c>
      <c r="Q23" s="476">
        <f t="shared" ref="Q23:Q32" ca="1" si="17">SUM(B23:P23)</f>
        <v>8008.0879336947019</v>
      </c>
    </row>
    <row r="24" spans="1:17">
      <c r="A24" s="476" t="s">
        <v>194</v>
      </c>
      <c r="B24" s="477">
        <f t="shared" ca="1" si="2"/>
        <v>167.22122456280684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167.22122456280684</v>
      </c>
    </row>
    <row r="25" spans="1:17">
      <c r="A25" s="476" t="s">
        <v>112</v>
      </c>
      <c r="B25" s="477">
        <f t="shared" ca="1" si="2"/>
        <v>164.93246006239968</v>
      </c>
      <c r="C25" s="477">
        <f t="shared" ca="1" si="3"/>
        <v>0</v>
      </c>
      <c r="D25" s="477">
        <f t="shared" si="4"/>
        <v>282.52719340932356</v>
      </c>
      <c r="E25" s="477">
        <f t="shared" si="5"/>
        <v>5.554977440416792</v>
      </c>
      <c r="F25" s="477">
        <f t="shared" si="6"/>
        <v>926.05465324876798</v>
      </c>
      <c r="G25" s="477">
        <f t="shared" si="7"/>
        <v>0</v>
      </c>
      <c r="H25" s="477">
        <f t="shared" si="8"/>
        <v>0</v>
      </c>
      <c r="I25" s="477">
        <f t="shared" si="9"/>
        <v>0</v>
      </c>
      <c r="J25" s="477">
        <f t="shared" si="10"/>
        <v>42.699127581111924</v>
      </c>
      <c r="K25" s="477">
        <f t="shared" si="11"/>
        <v>0</v>
      </c>
      <c r="L25" s="477">
        <f t="shared" si="12"/>
        <v>0</v>
      </c>
      <c r="M25" s="477">
        <f t="shared" si="13"/>
        <v>0</v>
      </c>
      <c r="N25" s="477">
        <f t="shared" si="14"/>
        <v>0</v>
      </c>
      <c r="O25" s="477">
        <f t="shared" si="15"/>
        <v>0</v>
      </c>
      <c r="P25" s="478">
        <f t="shared" si="16"/>
        <v>0</v>
      </c>
      <c r="Q25" s="476">
        <f t="shared" ca="1" si="17"/>
        <v>1421.7684117420199</v>
      </c>
    </row>
    <row r="26" spans="1:17">
      <c r="A26" s="476" t="s">
        <v>635</v>
      </c>
      <c r="B26" s="477">
        <f t="shared" ca="1" si="2"/>
        <v>477.72148354607839</v>
      </c>
      <c r="C26" s="477">
        <f t="shared" ca="1" si="3"/>
        <v>0</v>
      </c>
      <c r="D26" s="477">
        <f t="shared" si="4"/>
        <v>363.22604935475016</v>
      </c>
      <c r="E26" s="477">
        <f t="shared" si="5"/>
        <v>60.663221634783866</v>
      </c>
      <c r="F26" s="477">
        <f t="shared" si="6"/>
        <v>219.64160528836211</v>
      </c>
      <c r="G26" s="477">
        <f t="shared" si="7"/>
        <v>0</v>
      </c>
      <c r="H26" s="477">
        <f t="shared" si="8"/>
        <v>0</v>
      </c>
      <c r="I26" s="477">
        <f t="shared" si="9"/>
        <v>0</v>
      </c>
      <c r="J26" s="477">
        <f t="shared" si="10"/>
        <v>1.1235760477965855</v>
      </c>
      <c r="K26" s="477">
        <f t="shared" si="11"/>
        <v>0</v>
      </c>
      <c r="L26" s="477">
        <f t="shared" si="12"/>
        <v>0</v>
      </c>
      <c r="M26" s="477">
        <f t="shared" si="13"/>
        <v>0</v>
      </c>
      <c r="N26" s="477">
        <f t="shared" si="14"/>
        <v>0</v>
      </c>
      <c r="O26" s="477">
        <f t="shared" si="15"/>
        <v>0</v>
      </c>
      <c r="P26" s="478">
        <f t="shared" si="16"/>
        <v>0</v>
      </c>
      <c r="Q26" s="476">
        <f t="shared" ca="1" si="17"/>
        <v>1122.3759358717712</v>
      </c>
    </row>
    <row r="27" spans="1:17" s="482" customFormat="1">
      <c r="A27" s="480" t="s">
        <v>561</v>
      </c>
      <c r="B27" s="780">
        <f t="shared" ca="1" si="2"/>
        <v>10.370851602582004</v>
      </c>
      <c r="C27" s="481">
        <f t="shared" ca="1" si="3"/>
        <v>0</v>
      </c>
      <c r="D27" s="481">
        <f t="shared" si="4"/>
        <v>41.953519429633964</v>
      </c>
      <c r="E27" s="481">
        <f t="shared" si="5"/>
        <v>62.959924268538934</v>
      </c>
      <c r="F27" s="481">
        <f t="shared" si="6"/>
        <v>0</v>
      </c>
      <c r="G27" s="481">
        <f t="shared" si="7"/>
        <v>24976.254891399454</v>
      </c>
      <c r="H27" s="481">
        <f t="shared" si="8"/>
        <v>5810.7218934026068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30902.261080102817</v>
      </c>
    </row>
    <row r="28" spans="1:17">
      <c r="A28" s="476" t="s">
        <v>551</v>
      </c>
      <c r="B28" s="477">
        <f t="shared" ca="1" si="2"/>
        <v>0</v>
      </c>
      <c r="C28" s="477">
        <f t="shared" ca="1" si="3"/>
        <v>0</v>
      </c>
      <c r="D28" s="477">
        <f t="shared" si="4"/>
        <v>0</v>
      </c>
      <c r="E28" s="477">
        <f t="shared" si="5"/>
        <v>0</v>
      </c>
      <c r="F28" s="477">
        <f t="shared" si="6"/>
        <v>0</v>
      </c>
      <c r="G28" s="477">
        <f t="shared" si="7"/>
        <v>269.39442013934797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269.39442013934797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211.45908139890912</v>
      </c>
      <c r="C32" s="477">
        <f t="shared" ca="1" si="3"/>
        <v>0</v>
      </c>
      <c r="D32" s="477">
        <f t="shared" si="4"/>
        <v>399.78116762046687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611.24024901937605</v>
      </c>
    </row>
    <row r="33" spans="1:17" s="486" customFormat="1">
      <c r="A33" s="1039" t="s">
        <v>555</v>
      </c>
      <c r="B33" s="987">
        <f ca="1">SUM(B22:B32)</f>
        <v>12672.397931326144</v>
      </c>
      <c r="C33" s="987">
        <f t="shared" ref="C33:Q33" ca="1" si="18">SUM(C22:C32)</f>
        <v>30.554621848739504</v>
      </c>
      <c r="D33" s="987">
        <f t="shared" ca="1" si="18"/>
        <v>16037.472915278729</v>
      </c>
      <c r="E33" s="987">
        <f t="shared" si="18"/>
        <v>1771.2264524166467</v>
      </c>
      <c r="F33" s="987">
        <f t="shared" ca="1" si="18"/>
        <v>31728.207236202332</v>
      </c>
      <c r="G33" s="987">
        <f t="shared" si="18"/>
        <v>25245.649311538804</v>
      </c>
      <c r="H33" s="987">
        <f t="shared" si="18"/>
        <v>5810.7218934026068</v>
      </c>
      <c r="I33" s="987">
        <f t="shared" si="18"/>
        <v>0</v>
      </c>
      <c r="J33" s="987">
        <f t="shared" si="18"/>
        <v>43.845057613526187</v>
      </c>
      <c r="K33" s="987">
        <f t="shared" si="18"/>
        <v>0</v>
      </c>
      <c r="L33" s="987">
        <f t="shared" ca="1" si="18"/>
        <v>0</v>
      </c>
      <c r="M33" s="987">
        <f t="shared" si="18"/>
        <v>0</v>
      </c>
      <c r="N33" s="987">
        <f t="shared" ca="1" si="18"/>
        <v>0</v>
      </c>
      <c r="O33" s="987">
        <f t="shared" si="18"/>
        <v>0</v>
      </c>
      <c r="P33" s="987">
        <f t="shared" si="18"/>
        <v>0</v>
      </c>
      <c r="Q33" s="987">
        <f t="shared" ca="1" si="18"/>
        <v>93340.075419627523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6633.8504548277288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v>
      </c>
      <c r="D8" s="1056">
        <f>'SEAP template'!D76</f>
        <v>105.88235294117648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21.388235294117649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6633.8504548277288</v>
      </c>
      <c r="C10" s="1060">
        <f>SUM(C4:C9)</f>
        <v>90</v>
      </c>
      <c r="D10" s="1060">
        <f t="shared" ref="D10:H10" si="0">SUM(D8:D9)</f>
        <v>105.88235294117648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21.388235294117649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0.19810453256203231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128.57142857142858</v>
      </c>
      <c r="D17" s="1057">
        <f>'SEAP template'!D87</f>
        <v>151.2605042016807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30.554621848739504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128.57142857142858</v>
      </c>
      <c r="D20" s="1060">
        <f t="shared" ref="D20:H20" si="2">SUM(D17:D19)</f>
        <v>151.2605042016807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30.554621848739504</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0.19810453256203231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2019-08-12T08:33:02Z</dcterms:modified>
</cp:coreProperties>
</file>