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O9" i="18" l="1"/>
  <c r="N78" i="14"/>
  <c r="N9" i="61"/>
  <c r="Q14" i="48"/>
  <c r="K78" i="14"/>
  <c r="K8" i="61"/>
  <c r="K10" s="1"/>
  <c r="L90" i="14"/>
  <c r="L18" i="61"/>
  <c r="E20"/>
  <c r="C98" i="18"/>
  <c r="G101" s="1"/>
  <c r="I8" s="1"/>
  <c r="O77" i="14"/>
  <c r="O9" i="61" s="1"/>
  <c r="O10" s="1"/>
  <c r="O89" i="14"/>
  <c r="O19" i="61" s="1"/>
  <c r="P27" i="48"/>
  <c r="B10" i="18"/>
  <c r="D20"/>
  <c r="H9"/>
  <c r="M77" i="14" s="1"/>
  <c r="M9" i="61" s="1"/>
  <c r="L20"/>
  <c r="O31" i="48"/>
  <c r="P31"/>
  <c r="K10" i="18"/>
  <c r="L78" i="14"/>
  <c r="L8" i="61"/>
  <c r="L10" s="1"/>
  <c r="E90" i="14"/>
  <c r="E18" i="61"/>
  <c r="N10"/>
  <c r="N20"/>
  <c r="K90" i="14"/>
  <c r="J22"/>
  <c r="P22"/>
  <c r="E10" i="61"/>
  <c r="B17" i="18"/>
  <c r="B20" s="1"/>
  <c r="F13" i="15"/>
  <c r="O22" i="14"/>
  <c r="G77"/>
  <c r="G9" i="61" s="1"/>
  <c r="G10" s="1"/>
  <c r="H20"/>
  <c r="P25" i="48"/>
  <c r="I77" i="14"/>
  <c r="I9" i="61" s="1"/>
  <c r="L13" i="15"/>
  <c r="B13"/>
  <c r="H90" i="14"/>
  <c r="N13" i="15"/>
  <c r="F77" i="14"/>
  <c r="F9" i="61" s="1"/>
  <c r="F101" i="18"/>
  <c r="H101"/>
  <c r="D101"/>
  <c r="I102"/>
  <c r="H17" s="1"/>
  <c r="E102"/>
  <c r="E17" s="1"/>
  <c r="C102"/>
  <c r="B102"/>
  <c r="C17" s="1"/>
  <c r="H102"/>
  <c r="D102"/>
  <c r="G102"/>
  <c r="F102"/>
  <c r="N90" i="14"/>
  <c r="O18" i="18"/>
  <c r="F20"/>
  <c r="D77" i="14"/>
  <c r="D9" i="61" s="1"/>
  <c r="H77" i="14"/>
  <c r="G90"/>
  <c r="O88"/>
  <c r="G20" i="18"/>
  <c r="K20"/>
  <c r="O19"/>
  <c r="O78" i="14"/>
  <c r="D10" i="18"/>
  <c r="O29" i="48"/>
  <c r="O27"/>
  <c r="P29"/>
  <c r="P32"/>
  <c r="O24"/>
  <c r="P24"/>
  <c r="P30"/>
  <c r="R9" i="14"/>
  <c r="D22"/>
  <c r="E55"/>
  <c r="R25"/>
  <c r="E78"/>
  <c r="H78" l="1"/>
  <c r="H9" i="61"/>
  <c r="H10" s="1"/>
  <c r="O90" i="14"/>
  <c r="O18" i="61"/>
  <c r="O20" s="1"/>
  <c r="G78" i="14"/>
  <c r="B101" i="18"/>
  <c r="C8" s="1"/>
  <c r="C10" s="1"/>
  <c r="I101"/>
  <c r="H8" s="1"/>
  <c r="D10" i="61"/>
  <c r="Q89" i="14"/>
  <c r="P19" i="61" s="1"/>
  <c r="C101" i="18"/>
  <c r="J8" s="1"/>
  <c r="B89" i="14"/>
  <c r="B19" i="61" s="1"/>
  <c r="E101" i="18"/>
  <c r="E8" s="1"/>
  <c r="C89" i="14"/>
  <c r="C19" i="61" s="1"/>
  <c r="B88" i="14"/>
  <c r="B18" i="61" s="1"/>
  <c r="B77" i="14"/>
  <c r="B9" i="61" s="1"/>
  <c r="Q77" i="14"/>
  <c r="P9" i="61" s="1"/>
  <c r="J17" i="18"/>
  <c r="H20"/>
  <c r="M87" i="14"/>
  <c r="M76"/>
  <c r="H10" i="18"/>
  <c r="E20"/>
  <c r="F87" i="14"/>
  <c r="C77"/>
  <c r="C9" i="61" s="1"/>
  <c r="C20" i="18"/>
  <c r="D87" i="14"/>
  <c r="D17" i="61" s="1"/>
  <c r="D20" s="1"/>
  <c r="D76" i="14"/>
  <c r="D8" i="61" s="1"/>
  <c r="C88" i="14"/>
  <c r="C18" i="61" s="1"/>
  <c r="F76" i="14"/>
  <c r="E10" i="18"/>
  <c r="I17"/>
  <c r="I10"/>
  <c r="I76" i="14"/>
  <c r="I8" i="61" s="1"/>
  <c r="I10" s="1"/>
  <c r="Q88" i="14"/>
  <c r="P18" i="61" s="1"/>
  <c r="AC15" i="5"/>
  <c r="O8" i="18" l="1"/>
  <c r="O10" s="1"/>
  <c r="M90" i="14"/>
  <c r="M17" i="61"/>
  <c r="M20" s="1"/>
  <c r="F78" i="14"/>
  <c r="F8" i="61"/>
  <c r="F10" s="1"/>
  <c r="F90" i="14"/>
  <c r="F17" i="61"/>
  <c r="F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7" i="48" l="1"/>
  <c r="I30"/>
  <c r="I32"/>
  <c r="I24"/>
  <c r="I25"/>
  <c r="I28"/>
  <c r="I29"/>
  <c r="I31"/>
  <c r="I22"/>
  <c r="I26"/>
  <c r="H29"/>
  <c r="H25"/>
  <c r="H32"/>
  <c r="H28"/>
  <c r="H22"/>
  <c r="H30"/>
  <c r="H26"/>
  <c r="H24"/>
  <c r="H23"/>
  <c r="C4"/>
  <c r="D11" i="14"/>
  <c r="F30" i="48"/>
  <c r="F29"/>
  <c r="F32"/>
  <c r="F24"/>
  <c r="F31"/>
  <c r="F28"/>
  <c r="F27"/>
  <c r="B10"/>
  <c r="C19" i="14"/>
  <c r="E31" i="48"/>
  <c r="E29"/>
  <c r="E32"/>
  <c r="E30"/>
  <c r="E28"/>
  <c r="E24"/>
  <c r="M29"/>
  <c r="M22"/>
  <c r="M24"/>
  <c r="M30"/>
  <c r="M25"/>
  <c r="M32"/>
  <c r="M26"/>
  <c r="M23"/>
  <c r="K5"/>
  <c r="L10" i="14"/>
  <c r="L16" s="1"/>
  <c r="L27" s="1"/>
  <c r="D30" i="48"/>
  <c r="D28"/>
  <c r="D24"/>
  <c r="D31"/>
  <c r="D29"/>
  <c r="D32"/>
  <c r="L29"/>
  <c r="L32"/>
  <c r="L22"/>
  <c r="L27"/>
  <c r="L28"/>
  <c r="L30"/>
  <c r="L31"/>
  <c r="L24"/>
  <c r="P5"/>
  <c r="P23" s="1"/>
  <c r="Q10" i="14"/>
  <c r="P11"/>
  <c r="O4" i="48"/>
  <c r="D4"/>
  <c r="D22" s="1"/>
  <c r="E11" i="14"/>
  <c r="G23" i="48"/>
  <c r="G30"/>
  <c r="G32"/>
  <c r="G29"/>
  <c r="G24"/>
  <c r="G22"/>
  <c r="G25"/>
  <c r="G26"/>
  <c r="B4"/>
  <c r="C11" i="14"/>
  <c r="N31" i="48"/>
  <c r="N30"/>
  <c r="N24"/>
  <c r="N32"/>
  <c r="N28"/>
  <c r="N29"/>
  <c r="N27"/>
  <c r="K32"/>
  <c r="K24"/>
  <c r="K27"/>
  <c r="K30"/>
  <c r="K26"/>
  <c r="K22"/>
  <c r="K25"/>
  <c r="K28"/>
  <c r="K31"/>
  <c r="K29"/>
  <c r="C24" i="14"/>
  <c r="C26" s="1"/>
  <c r="B7" i="48"/>
  <c r="J31"/>
  <c r="J30"/>
  <c r="J32"/>
  <c r="J24"/>
  <c r="J29"/>
  <c r="J27"/>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C22"/>
  <c r="B9" i="48"/>
  <c r="C20" i="14"/>
  <c r="K24"/>
  <c r="K26" s="1"/>
  <c r="J7" i="48"/>
  <c r="J25" s="1"/>
  <c r="L46" i="14"/>
  <c r="L61" s="1"/>
  <c r="L63" s="1"/>
  <c r="O22" i="48"/>
  <c r="H18" i="14"/>
  <c r="G13" i="48"/>
  <c r="G31" s="1"/>
  <c r="Q13" i="14"/>
  <c r="Q16" s="1"/>
  <c r="Q27" s="1"/>
  <c r="P8" i="48"/>
  <c r="P26" s="1"/>
  <c r="K23"/>
  <c r="K15"/>
  <c r="E20" i="14"/>
  <c r="E22" s="1"/>
  <c r="D9" i="48"/>
  <c r="D27" s="1"/>
  <c r="P10" i="14"/>
  <c r="O5" i="48"/>
  <c r="O23" s="1"/>
  <c r="G11" i="14"/>
  <c r="F4" i="48"/>
  <c r="F22" s="1"/>
  <c r="I5"/>
  <c r="J10" i="14"/>
  <c r="J16" s="1"/>
  <c r="J27" s="1"/>
  <c r="J63" s="1"/>
  <c r="P22" i="48"/>
  <c r="K33"/>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J4"/>
  <c r="K11" i="14"/>
  <c r="O11"/>
  <c r="N4" i="48"/>
  <c r="N22" s="1"/>
  <c r="I15"/>
  <c r="I23"/>
  <c r="I33" s="1"/>
  <c r="N19" i="14"/>
  <c r="N22" s="1"/>
  <c r="N27" s="1"/>
  <c r="M10" i="48"/>
  <c r="M28" s="1"/>
  <c r="Q63" i="14"/>
  <c r="M14" i="22"/>
  <c r="P15" i="48"/>
  <c r="H14" i="22"/>
  <c r="I20" i="14" s="1"/>
  <c r="I22" s="1"/>
  <c r="I27" s="1"/>
  <c r="P33" i="48"/>
  <c r="H19" i="14"/>
  <c r="G10" i="48"/>
  <c r="E7"/>
  <c r="E25" s="1"/>
  <c r="F24" i="14"/>
  <c r="F26" s="1"/>
  <c r="P46"/>
  <c r="P61" s="1"/>
  <c r="M9" i="48"/>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E22" i="48"/>
  <c r="Q4"/>
  <c r="G9"/>
  <c r="H20" i="14"/>
  <c r="H9" i="48"/>
  <c r="J5"/>
  <c r="J23" s="1"/>
  <c r="K10" i="14"/>
  <c r="O26" i="48"/>
  <c r="O33" s="1"/>
  <c r="O15"/>
  <c r="E5"/>
  <c r="E23" s="1"/>
  <c r="F10" i="14"/>
  <c r="H22"/>
  <c r="H27" s="1"/>
  <c r="R19"/>
  <c r="R22" s="1"/>
  <c r="J22" i="48"/>
  <c r="G28"/>
  <c r="Q10"/>
  <c r="P63" i="14"/>
  <c r="M15" i="48"/>
  <c r="M27"/>
  <c r="M33" s="1"/>
  <c r="Q9"/>
  <c r="H15"/>
  <c r="H27"/>
  <c r="H33" s="1"/>
  <c r="N63" i="14"/>
  <c r="R20"/>
  <c r="R24"/>
  <c r="R26" s="1"/>
  <c r="N18" i="16"/>
  <c r="E20" i="15"/>
  <c r="F40" i="14" s="1"/>
  <c r="F18" i="16"/>
  <c r="J18"/>
  <c r="E18"/>
  <c r="G18" i="22"/>
  <c r="H50" i="14" s="1"/>
  <c r="H18" i="22"/>
  <c r="I50" i="14" s="1"/>
  <c r="I52" s="1"/>
  <c r="I61" s="1"/>
  <c r="I63" s="1"/>
  <c r="J8" i="48" l="1"/>
  <c r="K13" i="14"/>
  <c r="K16" s="1"/>
  <c r="K27" s="1"/>
  <c r="K63" s="1"/>
  <c r="F13"/>
  <c r="E8" i="48"/>
  <c r="G27"/>
  <c r="G33" s="1"/>
  <c r="G15"/>
  <c r="F16" i="14"/>
  <c r="F27" s="1"/>
  <c r="F63" s="1"/>
  <c r="F46"/>
  <c r="F61" s="1"/>
  <c r="N8" i="48"/>
  <c r="N26" s="1"/>
  <c r="O13" i="14"/>
  <c r="F8" i="48"/>
  <c r="G13" i="14"/>
  <c r="E22" i="16"/>
  <c r="F43" i="14" s="1"/>
  <c r="F22" i="16"/>
  <c r="G43" i="14" s="1"/>
  <c r="N22" i="16"/>
  <c r="O43" i="14" s="1"/>
  <c r="J22" i="16"/>
  <c r="K43" i="14" s="1"/>
  <c r="K46" s="1"/>
  <c r="K61" s="1"/>
  <c r="J26" i="48" l="1"/>
  <c r="J33" s="1"/>
  <c r="J15"/>
  <c r="E26"/>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<sst xmlns="http://schemas.openxmlformats.org/spreadsheetml/2006/main" count="2392" uniqueCount="887">
  <si>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</si>
  <si>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</si>
  <si>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</si>
  <si>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</si>
  <si>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</si>
  <si>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</si>
  <si>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</si>
  <si>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</si>
  <si>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</si>
  <si>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</si>
  <si>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</si>
  <si>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</si>
  <si>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</si>
  <si>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</si>
  <si>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</si>
  <si>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</si>
  <si>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</si>
  <si>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</si>
  <si>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</si>
  <si>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</si>
  <si>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</si>
  <si>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</si>
  <si>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</si>
  <si>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</si>
  <si>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</si>
  <si>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</si>
  <si>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</si>
  <si>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</si>
  <si>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</si>
  <si>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</si>
  <si>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</si>
  <si>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</si>
  <si>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</si>
  <si>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</si>
  <si>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</si>
  <si>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</si>
  <si>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</si>
  <si>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</si>
  <si>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</si>
  <si>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</si>
  <si>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</si>
  <si>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</si>
  <si>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</si>
  <si>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</si>
  <si>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</si>
  <si>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</si>
  <si>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</si>
  <si>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</si>
  <si>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</si>
  <si>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</si>
  <si>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</si>
  <si>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</si>
  <si>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</si>
  <si>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</si>
  <si>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</si>
  <si>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</si>
  <si>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</si>
  <si>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</si>
  <si>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</si>
  <si>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</si>
  <si>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</si>
  <si>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</si>
  <si>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</si>
  <si>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</si>
  <si>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</si>
  <si>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</si>
  <si>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</si>
  <si>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</si>
  <si>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</si>
  <si>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</si>
  <si>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</si>
  <si>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</si>
  <si>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</si>
  <si>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</si>
  <si>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</si>
  <si>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</si>
  <si>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</si>
  <si>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</si>
  <si>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</si>
  <si>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</si>
  <si>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</si>
  <si>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</si>
  <si>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</si>
  <si>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</si>
  <si>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</si>
  <si>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</si>
  <si>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</si>
  <si>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</si>
  <si>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</si>
  <si>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</si>
  <si>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</si>
  <si>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</si>
  <si>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</si>
  <si>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</si>
  <si>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</si>
  <si>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</si>
  <si>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</si>
  <si>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</si>
  <si>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</si>
  <si>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</si>
  <si>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</si>
  <si>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</si>
  <si>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</si>
  <si>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</si>
  <si>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</si>
  <si>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</si>
  <si>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</si>
  <si>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</si>
  <si>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</si>
  <si>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</si>
  <si>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</si>
  <si>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</si>
  <si>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</si>
  <si>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</si>
  <si>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</si>
  <si>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</si>
  <si>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</si>
  <si>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</si>
  <si>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</si>
  <si>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</si>
  <si>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</si>
  <si>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</si>
  <si>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</si>
  <si>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</si>
  <si>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</si>
  <si>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</si>
  <si>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</si>
  <si>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</si>
  <si>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</si>
  <si>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</si>
  <si>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</si>
  <si>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</si>
  <si>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</si>
  <si>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</si>
  <si>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</si>
  <si>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</si>
  <si>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</si>
  <si>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</si>
  <si>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</si>
  <si>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</si>
  <si>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</si>
  <si>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</si>
  <si>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</si>
  <si>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</si>
  <si>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</si>
  <si>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</si>
  <si>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</si>
  <si>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</si>
  <si>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</si>
  <si>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</si>
  <si>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</si>
  <si>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</si>
  <si>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</si>
  <si>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</si>
  <si>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</si>
  <si>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</si>
  <si>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</si>
  <si>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</si>
  <si>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</si>
  <si>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</si>
  <si>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</si>
  <si>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</si>
  <si>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</si>
  <si>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</si>
  <si>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</si>
  <si>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</si>
  <si>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</si>
  <si>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</si>
  <si>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</si>
  <si>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</si>
  <si>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</si>
  <si>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</si>
  <si>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</si>
  <si>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</si>
  <si>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</si>
  <si>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</si>
  <si>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</si>
  <si>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</si>
  <si>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</si>
  <si>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</si>
  <si>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</si>
  <si>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</si>
  <si>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</si>
  <si>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</si>
  <si>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</si>
  <si>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</si>
  <si>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</si>
  <si>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</si>
  <si>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</si>
  <si>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</si>
  <si>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</si>
  <si>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</si>
  <si>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</si>
  <si>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</si>
  <si>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</si>
  <si>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</si>
  <si>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</si>
  <si>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</si>
  <si>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</si>
  <si>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</si>
  <si>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</si>
  <si>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</si>
  <si>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</si>
  <si>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</si>
  <si>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</si>
  <si>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</si>
  <si>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</si>
  <si>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</si>
  <si>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</si>
  <si>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</si>
  <si>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</si>
  <si>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</si>
  <si>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</si>
  <si>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</si>
  <si>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</si>
  <si>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</si>
  <si>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</si>
  <si>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</si>
  <si>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</si>
  <si>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</si>
  <si>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</si>
  <si>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</si>
  <si>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</si>
  <si>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</si>
  <si>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</si>
  <si>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</si>
  <si>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</si>
  <si>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</si>
  <si>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</si>
  <si>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</si>
  <si>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</si>
  <si>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</si>
  <si>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</si>
  <si>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</si>
  <si>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</si>
  <si>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</si>
  <si>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</si>
  <si>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</si>
  <si>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</si>
  <si>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</si>
  <si>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</si>
  <si>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</si>
  <si>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</si>
  <si>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</si>
  <si>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</si>
  <si>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</si>
  <si>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</si>
  <si>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</si>
  <si>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</si>
  <si>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</si>
  <si>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</si>
  <si>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</si>
  <si>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</si>
  <si>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</si>
  <si>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</si>
  <si>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</si>
  <si>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</si>
  <si>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</si>
  <si>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</si>
  <si>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</si>
  <si>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</si>
  <si>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</si>
  <si>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</si>
  <si>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</si>
  <si>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</si>
  <si>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</si>
  <si>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</si>
  <si>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</si>
  <si>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</si>
  <si>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</si>
  <si>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</si>
  <si>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</si>
  <si>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</si>
  <si>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</si>
  <si>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</si>
  <si>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</si>
  <si>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</si>
  <si>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</si>
  <si>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</si>
  <si>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</si>
  <si>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</si>
  <si>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</si>
  <si>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</si>
  <si>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</si>
  <si>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</si>
  <si>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</si>
  <si>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</si>
  <si>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</si>
  <si>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</si>
  <si>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</si>
  <si>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</si>
  <si>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</si>
  <si>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</si>
  <si>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</si>
  <si>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</si>
  <si>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</si>
  <si>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</si>
  <si>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</si>
  <si>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</si>
  <si>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</si>
  <si>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</si>
  <si>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</si>
  <si>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</si>
  <si>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</si>
  <si>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</si>
  <si>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</si>
  <si>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</si>
  <si>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</si>
  <si>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</si>
  <si>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</si>
  <si>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</si>
  <si>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</si>
  <si>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</si>
  <si>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</si>
  <si>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</si>
  <si>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</si>
  <si>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</si>
  <si>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</si>
  <si>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</si>
  <si>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</si>
  <si>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</si>
  <si>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</si>
  <si>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</si>
  <si>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</si>
  <si>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</si>
  <si>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</si>
  <si>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</si>
  <si>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</si>
  <si>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</si>
  <si>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</si>
  <si>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</si>
  <si>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</si>
  <si>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</si>
  <si>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</si>
  <si>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</si>
  <si>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</si>
  <si>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</si>
  <si>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</si>
  <si>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</si>
  <si>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</si>
  <si>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</si>
  <si>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</si>
  <si>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</si>
  <si>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</si>
  <si>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</si>
  <si>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</si>
  <si>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</si>
  <si>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</si>
  <si>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</si>
  <si>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</si>
  <si>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</si>
  <si>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</si>
  <si>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</si>
  <si>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</si>
  <si>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</si>
  <si>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</si>
  <si>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</si>
  <si>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</si>
  <si>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</si>
  <si>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</si>
  <si>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</si>
  <si>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</si>
  <si>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</si>
  <si>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</si>
  <si>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</si>
  <si>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</si>
  <si>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</si>
  <si>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</si>
  <si>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</si>
  <si>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</si>
  <si>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</si>
  <si>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</si>
  <si>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</si>
  <si>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</si>
  <si>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</si>
  <si>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</si>
  <si>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</si>
  <si>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</si>
  <si>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</si>
  <si>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</si>
  <si>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</si>
  <si>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</si>
  <si>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</si>
  <si>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</si>
  <si>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</si>
  <si>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</si>
  <si>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</si>
  <si>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</si>
  <si>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</si>
  <si>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</si>
  <si>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</si>
  <si>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</si>
  <si>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</si>
  <si>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</si>
  <si>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</si>
  <si>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</si>
  <si>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</si>
  <si>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</si>
  <si>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</si>
  <si>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</si>
  <si>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</si>
  <si>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</si>
  <si>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</si>
  <si>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</si>
  <si>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</si>
  <si>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</si>
  <si>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</si>
  <si>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</si>
  <si>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</si>
  <si>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</si>
  <si>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</si>
  <si>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</si>
  <si>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</si>
  <si>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</si>
  <si>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</si>
  <si>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</si>
  <si>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</si>
  <si>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</si>
  <si>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</si>
  <si>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</si>
  <si>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</si>
  <si>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</si>
  <si>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</si>
  <si>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</si>
  <si>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</si>
  <si>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</si>
  <si>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</si>
  <si>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</si>
  <si>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</si>
  <si>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</si>
  <si>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</si>
  <si>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</si>
  <si>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</si>
  <si>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</si>
  <si>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</si>
  <si>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</si>
  <si>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</si>
  <si>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</si>
  <si>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</si>
  <si>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</si>
  <si>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</si>
  <si>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</si>
  <si>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</si>
  <si>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</si>
  <si>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</si>
  <si>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</si>
  <si>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</si>
  <si>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</si>
  <si>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</si>
  <si>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</si>
  <si>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</si>
  <si>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</si>
  <si>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</si>
  <si>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</si>
  <si>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</si>
  <si>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</si>
  <si>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</si>
  <si>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</si>
  <si>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</si>
  <si>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</si>
  <si>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</si>
  <si>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</si>
  <si>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</si>
  <si>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</si>
  <si>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</si>
  <si>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</si>
  <si>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</si>
  <si>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</si>
  <si>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</si>
  <si>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</si>
  <si>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</si>
  <si>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</si>
  <si>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</si>
  <si>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</si>
  <si>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</si>
  <si>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</si>
  <si>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</si>
  <si>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</si>
  <si>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</si>
  <si>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</si>
  <si>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</si>
  <si>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</si>
  <si>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</si>
  <si>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</si>
  <si>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</si>
  <si>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</si>
  <si>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</si>
  <si>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</si>
  <si>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</si>
  <si>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</si>
  <si>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</si>
  <si>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</si>
  <si>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</si>
  <si>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</si>
  <si>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</si>
  <si>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</si>
  <si>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</si>
  <si>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</si>
  <si>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</si>
  <si>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</si>
  <si>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</si>
  <si>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</si>
  <si>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</si>
  <si>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</si>
  <si>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</si>
  <si>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</si>
  <si>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</si>
  <si>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</si>
  <si>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</si>
  <si>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</si>
  <si>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</si>
  <si>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</si>
  <si>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</si>
  <si>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</si>
  <si>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</si>
  <si>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</si>
  <si>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</si>
  <si>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</si>
  <si>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</si>
  <si>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</si>
  <si>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</si>
  <si>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</si>
  <si>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</si>
  <si>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</si>
  <si>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</si>
  <si>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</si>
  <si>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</si>
  <si>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</si>
  <si>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</si>
  <si>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</si>
  <si>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</si>
  <si>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</si>
  <si>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</si>
  <si>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</si>
  <si>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</si>
  <si>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</si>
  <si>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</si>
  <si>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</si>
  <si>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</si>
  <si>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</si>
  <si>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</si>
  <si>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</si>
  <si>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</si>
  <si>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</si>
  <si>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</si>
  <si>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</si>
  <si>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</si>
  <si>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</si>
  <si>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</si>
  <si>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</si>
  <si>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</si>
  <si>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</si>
  <si>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</si>
  <si>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</si>
  <si>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</si>
  <si>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</si>
  <si>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</si>
  <si>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</si>
  <si>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</si>
  <si>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</si>
  <si>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</si>
  <si>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</si>
  <si>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</si>
  <si>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</si>
  <si>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</si>
  <si>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</si>
  <si>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</si>
  <si>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</si>
  <si>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</si>
  <si>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</si>
  <si>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</si>
  <si>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</si>
  <si>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</si>
  <si>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</si>
  <si>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</si>
  <si>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</si>
  <si>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</si>
  <si>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</si>
  <si>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</si>
  <si>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</si>
  <si>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</si>
  <si>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</si>
  <si>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</si>
  <si>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</si>
  <si>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</si>
  <si>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</si>
  <si>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</si>
  <si>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</si>
  <si>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</si>
  <si>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</si>
  <si>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</si>
  <si>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</si>
  <si>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</si>
  <si>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</si>
  <si>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</si>
  <si>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</si>
  <si>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</si>
  <si>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</si>
  <si>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</si>
  <si>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</si>
  <si>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</si>
  <si>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</si>
  <si>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</si>
  <si>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</si>
  <si>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</si>
  <si>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</si>
  <si>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</si>
  <si>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</si>
  <si>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</si>
  <si>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</si>
  <si>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</si>
  <si>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</si>
  <si>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</si>
  <si>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</si>
  <si>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</si>
  <si>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</si>
  <si>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</si>
  <si>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</si>
  <si>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</si>
  <si>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</si>
  <si>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</si>
  <si>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</si>
  <si>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</si>
  <si>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</si>
  <si>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</si>
  <si>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</si>
  <si>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</si>
  <si>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</si>
  <si>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</si>
  <si>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</si>
  <si>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</si>
  <si>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</si>
  <si>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</si>
  <si>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</si>
  <si>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</si>
  <si>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</si>
  <si>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</si>
  <si>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</si>
  <si>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</si>
  <si>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</si>
  <si>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</si>
  <si>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</si>
  <si>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</si>
  <si>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</si>
  <si>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</si>
  <si>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</si>
  <si>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</si>
  <si>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</si>
  <si>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</si>
  <si>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</si>
  <si>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</si>
  <si>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</si>
  <si>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</si>
  <si>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</si>
  <si>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</si>
  <si>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</si>
  <si>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</si>
  <si>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</si>
  <si>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</si>
  <si>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</si>
  <si>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</si>
  <si>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</si>
  <si>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</si>
  <si>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</si>
  <si>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</si>
  <si>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</si>
  <si>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</si>
  <si>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</si>
  <si>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</si>
  <si>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</si>
  <si>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</si>
  <si>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</si>
  <si>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</si>
  <si>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</si>
  <si>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</si>
  <si>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</si>
  <si>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</si>
  <si>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</si>
  <si>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</si>
  <si>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</si>
  <si>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</si>
  <si>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</si>
  <si>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</si>
  <si>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</si>
  <si>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</si>
  <si>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</si>
  <si>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</si>
  <si>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</si>
  <si>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</si>
  <si>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</si>
  <si>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</si>
  <si>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</si>
  <si>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</si>
  <si>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</si>
  <si>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</si>
  <si>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</si>
  <si>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</si>
  <si>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</si>
  <si>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</si>
  <si>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</si>
  <si>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</si>
  <si>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</si>
  <si>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</si>
  <si>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</si>
  <si>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</si>
  <si>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</si>
  <si>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</si>
  <si>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</si>
  <si>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</si>
  <si>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</si>
  <si>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</si>
  <si>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</si>
  <si>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</si>
  <si>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</si>
  <si>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</si>
  <si>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</si>
  <si>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</si>
  <si>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</si>
  <si>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</si>
  <si>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</si>
  <si>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</si>
  <si>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</si>
  <si>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</si>
  <si>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</si>
  <si>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</si>
  <si>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</si>
  <si>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</si>
  <si>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</si>
  <si>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</si>
  <si>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</si>
  <si>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</si>
  <si>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</si>
  <si>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</si>
  <si>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</si>
  <si>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</si>
  <si>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</si>
  <si>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</si>
  <si>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</si>
  <si>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</si>
  <si>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</si>
  <si>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</si>
  <si>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</si>
  <si>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</si>
  <si>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</si>
  <si>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</si>
  <si>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</si>
  <si>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</si>
  <si>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</si>
  <si>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</si>
  <si>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</si>
  <si>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</si>
  <si>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</si>
  <si>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</si>
  <si>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</si>
  <si>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</si>
  <si>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</si>
  <si>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</si>
  <si>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</si>
  <si>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</si>
  <si>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</si>
  <si>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</si>
  <si>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</si>
  <si>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</si>
  <si>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</si>
  <si>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</si>
  <si>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</si>
  <si>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</si>
  <si>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</si>
  <si>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</si>
  <si>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</si>
  <si>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</si>
  <si>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</si>
  <si>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</si>
  <si>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</si>
  <si>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</si>
  <si>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</si>
  <si>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</si>
  <si>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</si>
  <si>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</si>
  <si>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</si>
  <si>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</si>
  <si>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</si>
  <si>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</si>
  <si>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</si>
  <si>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</si>
  <si>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</si>
  <si>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</si>
  <si>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</si>
  <si>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</si>
  <si>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</si>
  <si>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</si>
  <si>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</si>
  <si>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</si>
  <si>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</si>
  <si>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</si>
  <si>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</si>
  <si>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</si>
  <si>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</si>
  <si>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</si>
  <si>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</si>
  <si>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</si>
  <si>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</si>
  <si>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</si>
  <si>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</si>
  <si>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</si>
  <si>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</si>
  <si>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</si>
  <si>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</si>
  <si>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</si>
  <si>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</si>
  <si>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</si>
  <si>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</si>
  <si>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</si>
  <si>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</si>
  <si>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</si>
  <si>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</si>
  <si>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</si>
  <si>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</si>
  <si>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</si>
  <si>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</si>
  <si>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</si>
  <si>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</si>
  <si>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</si>
  <si>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</si>
  <si>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</si>
  <si>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</si>
  <si>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</si>
  <si>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</si>
  <si>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</si>
  <si>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</si>
  <si>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</si>
  <si>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</si>
  <si>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</si>
  <si>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</si>
  <si>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</si>
  <si>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</si>
  <si>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</si>
  <si>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</si>
  <si>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</si>
  <si>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</si>
  <si>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</si>
  <si>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</si>
  <si>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</si>
  <si>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</si>
  <si>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</si>
  <si>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</si>
  <si>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</si>
  <si>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</si>
  <si>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</si>
  <si>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</si>
  <si>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</si>
  <si>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</si>
  <si>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</si>
  <si>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</si>
  <si>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</si>
  <si>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</si>
  <si>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</si>
  <si>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</si>
  <si>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</si>
  <si>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</si>
  <si>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</si>
  <si>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</si>
  <si>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</si>
  <si>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</si>
  <si>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</si>
  <si>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</si>
  <si>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</si>
  <si>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</si>
  <si>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</si>
  <si>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</si>
  <si>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</si>
  <si>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</si>
  <si>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</si>
  <si>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24130</t>
  </si>
  <si>
    <t>ZOUTLEEUW</t>
  </si>
  <si>
    <t>Eandis (januari 2018); Infrax (juni 2018)</t>
  </si>
  <si>
    <t>MOW (september 2017)</t>
  </si>
  <si>
    <t>referentietaak LNE (2017); Jaarverslag De Lijn (2016)</t>
  </si>
  <si>
    <t>VEA (april 2018)</t>
  </si>
  <si>
    <t>VEA (januari 2017)</t>
  </si>
  <si>
    <t>VEA (juni 2018)</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</si>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</sst>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94908.55776509775</c:v>
                </c:pt>
                <c:pt idx="1">
                  <c:v>46304.129371644645</c:v>
                </c:pt>
                <c:pt idx="2">
                  <c:v>574.27200000000005</c:v>
                </c:pt>
                <c:pt idx="3">
                  <c:v>12836.058374673623</c:v>
                </c:pt>
                <c:pt idx="4">
                  <c:v>2193.1436241321235</c:v>
                </c:pt>
                <c:pt idx="5">
                  <c:v>40122.418530162249</c:v>
                </c:pt>
                <c:pt idx="6">
                  <c:v>1087.0864004078676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94908.55776509775</c:v>
                </c:pt>
                <c:pt idx="1">
                  <c:v>46304.129371644645</c:v>
                </c:pt>
                <c:pt idx="2">
                  <c:v>574.27200000000005</c:v>
                </c:pt>
                <c:pt idx="3">
                  <c:v>12836.058374673623</c:v>
                </c:pt>
                <c:pt idx="4">
                  <c:v>2193.1436241321235</c:v>
                </c:pt>
                <c:pt idx="5">
                  <c:v>40122.418530162249</c:v>
                </c:pt>
                <c:pt idx="6">
                  <c:v>1087.0864004078676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18342.456838708124</c:v>
                </c:pt>
                <c:pt idx="2">
                  <c:v>5041.316978715764</c:v>
                </c:pt>
                <c:pt idx="3">
                  <c:v>80.860335652467001</c:v>
                </c:pt>
                <c:pt idx="4">
                  <c:v>3138.1952296025083</c:v>
                </c:pt>
                <c:pt idx="5">
                  <c:v>378.06447538034502</c:v>
                </c:pt>
                <c:pt idx="6">
                  <c:v>10026.194960486389</c:v>
                </c:pt>
                <c:pt idx="7">
                  <c:v>274.65299147001394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96992"/>
        <c:axId val="183419264"/>
      </c:barChart>
      <c:catAx>
        <c:axId val="183396992"/>
        <c:scaling>
          <c:orientation val="minMax"/>
        </c:scaling>
        <c:axPos val="b"/>
        <c:numFmt formatCode="General" sourceLinked="0"/>
        <c:tickLblPos val="nextTo"/>
        <c:crossAx val="183419264"/>
        <c:crosses val="autoZero"/>
        <c:auto val="1"/>
        <c:lblAlgn val="ctr"/>
        <c:lblOffset val="100"/>
      </c:catAx>
      <c:valAx>
        <c:axId val="183419264"/>
        <c:scaling>
          <c:orientation val="minMax"/>
        </c:scaling>
        <c:axPos val="l"/>
        <c:majorGridlines>
          <c:spPr>
            <a:ln>
              <a:noFill/>
            </a:ln>
          </c:spPr>
        </c:majorGridlines>
        <c:numFmt formatCode="#,##0" sourceLinked="1"/>
        <c:tickLblPos val="nextTo"/>
        <c:crossAx val="1833969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18342.456838708124</c:v>
                </c:pt>
                <c:pt idx="2">
                  <c:v>5041.316978715764</c:v>
                </c:pt>
                <c:pt idx="3">
                  <c:v>80.860335652467001</c:v>
                </c:pt>
                <c:pt idx="4">
                  <c:v>3138.1952296025083</c:v>
                </c:pt>
                <c:pt idx="5">
                  <c:v>378.06447538034502</c:v>
                </c:pt>
                <c:pt idx="6">
                  <c:v>10026.194960486389</c:v>
                </c:pt>
                <c:pt idx="7">
                  <c:v>274.65299147001394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24130</v>
      </c>
      <c r="B6" s="415"/>
      <c r="C6" s="416"/>
    </row>
    <row r="7" spans="1:7" s="413" customFormat="1" ht="15.75" customHeight="1">
      <c r="A7" s="417" t="str">
        <f>txtMunicipality</f>
        <v>ZOUTLEEUW</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23984.303949999998</v>
      </c>
      <c r="D10" s="1013">
        <f ca="1">tertiair!C16</f>
        <v>15075</v>
      </c>
      <c r="E10" s="1013">
        <f ca="1">tertiair!D16</f>
        <v>5015.3107730000002</v>
      </c>
      <c r="F10" s="1013">
        <f>tertiair!E16</f>
        <v>288.71428517869845</v>
      </c>
      <c r="G10" s="1013">
        <f ca="1">tertiair!F16</f>
        <v>2495.9557216155258</v>
      </c>
      <c r="H10" s="1013">
        <f>tertiair!G16</f>
        <v>0</v>
      </c>
      <c r="I10" s="1013">
        <f>tertiair!H16</f>
        <v>0</v>
      </c>
      <c r="J10" s="1013">
        <f>tertiair!I16</f>
        <v>0</v>
      </c>
      <c r="K10" s="1013">
        <f>tertiair!J16</f>
        <v>4.9975183764747466E-2</v>
      </c>
      <c r="L10" s="1013">
        <f>tertiair!K16</f>
        <v>0</v>
      </c>
      <c r="M10" s="1013">
        <f ca="1">tertiair!L16</f>
        <v>0</v>
      </c>
      <c r="N10" s="1013">
        <f>tertiair!M16</f>
        <v>0</v>
      </c>
      <c r="O10" s="1013">
        <f ca="1">tertiair!N16</f>
        <v>0</v>
      </c>
      <c r="P10" s="1013">
        <f>tertiair!O16</f>
        <v>0</v>
      </c>
      <c r="Q10" s="1014">
        <f>tertiair!P16</f>
        <v>19.066666666666666</v>
      </c>
      <c r="R10" s="700">
        <f ca="1">SUM(C10:Q10)</f>
        <v>46878.40137164465</v>
      </c>
      <c r="S10" s="67"/>
    </row>
    <row r="11" spans="1:19" s="473" customFormat="1">
      <c r="A11" s="809" t="s">
        <v>225</v>
      </c>
      <c r="B11" s="814"/>
      <c r="C11" s="1013">
        <f>huishoudens!B8</f>
        <v>14555.938652619743</v>
      </c>
      <c r="D11" s="1013">
        <f>huishoudens!C8</f>
        <v>0</v>
      </c>
      <c r="E11" s="1013">
        <f>huishoudens!D8</f>
        <v>14796.048147100002</v>
      </c>
      <c r="F11" s="1013">
        <f>huishoudens!E8</f>
        <v>3340.173050486223</v>
      </c>
      <c r="G11" s="1013">
        <f>huishoudens!F8</f>
        <v>45361.455853225329</v>
      </c>
      <c r="H11" s="1013">
        <f>huishoudens!G8</f>
        <v>0</v>
      </c>
      <c r="I11" s="1013">
        <f>huishoudens!H8</f>
        <v>0</v>
      </c>
      <c r="J11" s="1013">
        <f>huishoudens!I8</f>
        <v>0</v>
      </c>
      <c r="K11" s="1013">
        <f>huishoudens!J8</f>
        <v>1227.0593784704733</v>
      </c>
      <c r="L11" s="1013">
        <f>huishoudens!K8</f>
        <v>0</v>
      </c>
      <c r="M11" s="1013">
        <f>huishoudens!L8</f>
        <v>0</v>
      </c>
      <c r="N11" s="1013">
        <f>huishoudens!M8</f>
        <v>0</v>
      </c>
      <c r="O11" s="1013">
        <f>huishoudens!N8</f>
        <v>14824.539349862669</v>
      </c>
      <c r="P11" s="1013">
        <f>huishoudens!O8</f>
        <v>136.01000000000002</v>
      </c>
      <c r="Q11" s="1014">
        <f>huishoudens!P8</f>
        <v>667.33333333333337</v>
      </c>
      <c r="R11" s="700">
        <f>SUM(C11:Q11)</f>
        <v>94908.55776509775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768.91430000000003</v>
      </c>
      <c r="D13" s="1013">
        <f>industrie!C18</f>
        <v>0</v>
      </c>
      <c r="E13" s="1013">
        <f>industrie!D18</f>
        <v>581.87695280000003</v>
      </c>
      <c r="F13" s="1013">
        <f>industrie!E18</f>
        <v>154.5542406488216</v>
      </c>
      <c r="G13" s="1013">
        <f>industrie!F18</f>
        <v>438.80772048669587</v>
      </c>
      <c r="H13" s="1013">
        <f>industrie!G18</f>
        <v>0</v>
      </c>
      <c r="I13" s="1013">
        <f>industrie!H18</f>
        <v>0</v>
      </c>
      <c r="J13" s="1013">
        <f>industrie!I18</f>
        <v>0</v>
      </c>
      <c r="K13" s="1013">
        <f>industrie!J18</f>
        <v>3.6507069827068098E-2</v>
      </c>
      <c r="L13" s="1013">
        <f>industrie!K18</f>
        <v>0</v>
      </c>
      <c r="M13" s="1013">
        <f>industrie!L18</f>
        <v>0</v>
      </c>
      <c r="N13" s="1013">
        <f>industrie!M18</f>
        <v>0</v>
      </c>
      <c r="O13" s="1013">
        <f>industrie!N18</f>
        <v>248.95390312677875</v>
      </c>
      <c r="P13" s="1013">
        <f>industrie!O18</f>
        <v>0</v>
      </c>
      <c r="Q13" s="1014">
        <f>industrie!P18</f>
        <v>0</v>
      </c>
      <c r="R13" s="700">
        <f>SUM(C13:Q13)</f>
        <v>2193.1436241321235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39309.156902619739</v>
      </c>
      <c r="D16" s="732">
        <f t="shared" ref="D16:R16" ca="1" si="0">SUM(D9:D15)</f>
        <v>15075</v>
      </c>
      <c r="E16" s="732">
        <f t="shared" ca="1" si="0"/>
        <v>20393.235872900004</v>
      </c>
      <c r="F16" s="732">
        <f t="shared" si="0"/>
        <v>3783.4415763137431</v>
      </c>
      <c r="G16" s="732">
        <f t="shared" ca="1" si="0"/>
        <v>48296.219295327544</v>
      </c>
      <c r="H16" s="732">
        <f t="shared" si="0"/>
        <v>0</v>
      </c>
      <c r="I16" s="732">
        <f t="shared" si="0"/>
        <v>0</v>
      </c>
      <c r="J16" s="732">
        <f t="shared" si="0"/>
        <v>0</v>
      </c>
      <c r="K16" s="732">
        <f t="shared" si="0"/>
        <v>1227.1458607240652</v>
      </c>
      <c r="L16" s="732">
        <f t="shared" si="0"/>
        <v>0</v>
      </c>
      <c r="M16" s="732">
        <f t="shared" ca="1" si="0"/>
        <v>0</v>
      </c>
      <c r="N16" s="732">
        <f t="shared" si="0"/>
        <v>0</v>
      </c>
      <c r="O16" s="732">
        <f t="shared" ca="1" si="0"/>
        <v>15073.493252989449</v>
      </c>
      <c r="P16" s="732">
        <f t="shared" si="0"/>
        <v>136.01000000000002</v>
      </c>
      <c r="Q16" s="732">
        <f t="shared" si="0"/>
        <v>686.40000000000009</v>
      </c>
      <c r="R16" s="732">
        <f t="shared" ca="1" si="0"/>
        <v>143980.10276087452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1028.6628894008013</v>
      </c>
      <c r="I19" s="1013">
        <f>transport!H54</f>
        <v>0</v>
      </c>
      <c r="J19" s="1013">
        <f>transport!I54</f>
        <v>0</v>
      </c>
      <c r="K19" s="1013">
        <f>transport!J54</f>
        <v>0</v>
      </c>
      <c r="L19" s="1013">
        <f>transport!K54</f>
        <v>0</v>
      </c>
      <c r="M19" s="1013">
        <f>transport!L54</f>
        <v>0</v>
      </c>
      <c r="N19" s="1013">
        <f>transport!M54</f>
        <v>58.423511007066288</v>
      </c>
      <c r="O19" s="1013">
        <f>transport!N54</f>
        <v>0</v>
      </c>
      <c r="P19" s="1013">
        <f>transport!O54</f>
        <v>0</v>
      </c>
      <c r="Q19" s="1014">
        <f>transport!P54</f>
        <v>0</v>
      </c>
      <c r="R19" s="700">
        <f>SUM(C19:Q19)</f>
        <v>1087.0864004078676</v>
      </c>
      <c r="S19" s="67"/>
    </row>
    <row r="20" spans="1:19" s="473" customFormat="1">
      <c r="A20" s="809" t="s">
        <v>307</v>
      </c>
      <c r="B20" s="814"/>
      <c r="C20" s="1013">
        <f>transport!B14</f>
        <v>17.156722525661294</v>
      </c>
      <c r="D20" s="1013">
        <f>transport!C14</f>
        <v>0</v>
      </c>
      <c r="E20" s="1013">
        <f>transport!D14</f>
        <v>72.982186170931413</v>
      </c>
      <c r="F20" s="1013">
        <f>transport!E14</f>
        <v>94.739482127057784</v>
      </c>
      <c r="G20" s="1013">
        <f>transport!F14</f>
        <v>0</v>
      </c>
      <c r="H20" s="1013">
        <f>transport!G14</f>
        <v>29810.64565582529</v>
      </c>
      <c r="I20" s="1013">
        <f>transport!H14</f>
        <v>8144.933955869571</v>
      </c>
      <c r="J20" s="1013">
        <f>transport!I14</f>
        <v>0</v>
      </c>
      <c r="K20" s="1013">
        <f>transport!J14</f>
        <v>0</v>
      </c>
      <c r="L20" s="1013">
        <f>transport!K14</f>
        <v>0</v>
      </c>
      <c r="M20" s="1013">
        <f>transport!L14</f>
        <v>0</v>
      </c>
      <c r="N20" s="1013">
        <f>transport!M14</f>
        <v>1981.960527643736</v>
      </c>
      <c r="O20" s="1013">
        <f>transport!N14</f>
        <v>0</v>
      </c>
      <c r="P20" s="1013">
        <f>transport!O14</f>
        <v>0</v>
      </c>
      <c r="Q20" s="1014">
        <f>transport!P14</f>
        <v>0</v>
      </c>
      <c r="R20" s="700">
        <f>SUM(C20:Q20)</f>
        <v>40122.418530162249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17.156722525661294</v>
      </c>
      <c r="D22" s="812">
        <f t="shared" ref="D22:R22" si="1">SUM(D18:D21)</f>
        <v>0</v>
      </c>
      <c r="E22" s="812">
        <f t="shared" si="1"/>
        <v>72.982186170931413</v>
      </c>
      <c r="F22" s="812">
        <f t="shared" si="1"/>
        <v>94.739482127057784</v>
      </c>
      <c r="G22" s="812">
        <f t="shared" si="1"/>
        <v>0</v>
      </c>
      <c r="H22" s="812">
        <f t="shared" si="1"/>
        <v>30839.308545226093</v>
      </c>
      <c r="I22" s="812">
        <f t="shared" si="1"/>
        <v>8144.933955869571</v>
      </c>
      <c r="J22" s="812">
        <f t="shared" si="1"/>
        <v>0</v>
      </c>
      <c r="K22" s="812">
        <f t="shared" si="1"/>
        <v>0</v>
      </c>
      <c r="L22" s="812">
        <f t="shared" si="1"/>
        <v>0</v>
      </c>
      <c r="M22" s="812">
        <f t="shared" si="1"/>
        <v>0</v>
      </c>
      <c r="N22" s="812">
        <f t="shared" si="1"/>
        <v>2040.3840386508023</v>
      </c>
      <c r="O22" s="812">
        <f t="shared" si="1"/>
        <v>0</v>
      </c>
      <c r="P22" s="812">
        <f t="shared" si="1"/>
        <v>0</v>
      </c>
      <c r="Q22" s="812">
        <f t="shared" si="1"/>
        <v>0</v>
      </c>
      <c r="R22" s="812">
        <f t="shared" si="1"/>
        <v>41209.504930570118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2346.962</v>
      </c>
      <c r="D24" s="1013">
        <f>+landbouw!C8</f>
        <v>0</v>
      </c>
      <c r="E24" s="1013">
        <f>+landbouw!D8</f>
        <v>302.77073200000001</v>
      </c>
      <c r="F24" s="1013">
        <f>+landbouw!E8</f>
        <v>68.984381629341172</v>
      </c>
      <c r="G24" s="1013">
        <f>+landbouw!F8</f>
        <v>9777.3168688301739</v>
      </c>
      <c r="H24" s="1013">
        <f>+landbouw!G8</f>
        <v>0</v>
      </c>
      <c r="I24" s="1013">
        <f>+landbouw!H8</f>
        <v>0</v>
      </c>
      <c r="J24" s="1013">
        <f>+landbouw!I8</f>
        <v>0</v>
      </c>
      <c r="K24" s="1013">
        <f>+landbouw!J8</f>
        <v>340.02439221410873</v>
      </c>
      <c r="L24" s="1013">
        <f>+landbouw!K8</f>
        <v>0</v>
      </c>
      <c r="M24" s="1013">
        <f>+landbouw!L8</f>
        <v>0</v>
      </c>
      <c r="N24" s="1013">
        <f>+landbouw!M8</f>
        <v>0</v>
      </c>
      <c r="O24" s="1013">
        <f>+landbouw!N8</f>
        <v>0</v>
      </c>
      <c r="P24" s="1013">
        <f>+landbouw!O8</f>
        <v>0</v>
      </c>
      <c r="Q24" s="1014">
        <f>+landbouw!P8</f>
        <v>0</v>
      </c>
      <c r="R24" s="700">
        <f>SUM(C24:Q24)</f>
        <v>12836.058374673623</v>
      </c>
      <c r="S24" s="67"/>
    </row>
    <row r="25" spans="1:19" s="473" customFormat="1" ht="15" thickBot="1">
      <c r="A25" s="831" t="s">
        <v>836</v>
      </c>
      <c r="B25" s="1016"/>
      <c r="C25" s="1017">
        <f>IF(Onbekend_ele_kWh="---",0,Onbekend_ele_kWh)/1000+IF(REST_rest_ele_kWh="---",0,REST_rest_ele_kWh)/1000</f>
        <v>347.29924999999997</v>
      </c>
      <c r="D25" s="1017"/>
      <c r="E25" s="1017">
        <f>IF(onbekend_gas_kWh="---",0,onbekend_gas_kWh)/1000+IF(REST_rest_gas_kWh="---",0,REST_rest_gas_kWh)/1000</f>
        <v>1356.3352</v>
      </c>
      <c r="F25" s="1017"/>
      <c r="G25" s="1017"/>
      <c r="H25" s="1017"/>
      <c r="I25" s="1017"/>
      <c r="J25" s="1017"/>
      <c r="K25" s="1017"/>
      <c r="L25" s="1017"/>
      <c r="M25" s="1017"/>
      <c r="N25" s="1017"/>
      <c r="O25" s="1017"/>
      <c r="P25" s="1017"/>
      <c r="Q25" s="1018"/>
      <c r="R25" s="700">
        <f>SUM(C25:Q25)</f>
        <v>1703.63445</v>
      </c>
      <c r="S25" s="67"/>
    </row>
    <row r="26" spans="1:19" s="473" customFormat="1" ht="15.75" thickBot="1">
      <c r="A26" s="705" t="s">
        <v>837</v>
      </c>
      <c r="B26" s="817"/>
      <c r="C26" s="812">
        <f>SUM(C24:C25)</f>
        <v>2694.26125</v>
      </c>
      <c r="D26" s="812">
        <f t="shared" ref="D26:R26" si="2">SUM(D24:D25)</f>
        <v>0</v>
      </c>
      <c r="E26" s="812">
        <f t="shared" si="2"/>
        <v>1659.1059319999999</v>
      </c>
      <c r="F26" s="812">
        <f t="shared" si="2"/>
        <v>68.984381629341172</v>
      </c>
      <c r="G26" s="812">
        <f t="shared" si="2"/>
        <v>9777.3168688301739</v>
      </c>
      <c r="H26" s="812">
        <f t="shared" si="2"/>
        <v>0</v>
      </c>
      <c r="I26" s="812">
        <f t="shared" si="2"/>
        <v>0</v>
      </c>
      <c r="J26" s="812">
        <f t="shared" si="2"/>
        <v>0</v>
      </c>
      <c r="K26" s="812">
        <f t="shared" si="2"/>
        <v>340.02439221410873</v>
      </c>
      <c r="L26" s="812">
        <f t="shared" si="2"/>
        <v>0</v>
      </c>
      <c r="M26" s="812">
        <f t="shared" si="2"/>
        <v>0</v>
      </c>
      <c r="N26" s="812">
        <f t="shared" si="2"/>
        <v>0</v>
      </c>
      <c r="O26" s="812">
        <f t="shared" si="2"/>
        <v>0</v>
      </c>
      <c r="P26" s="812">
        <f t="shared" si="2"/>
        <v>0</v>
      </c>
      <c r="Q26" s="812">
        <f t="shared" si="2"/>
        <v>0</v>
      </c>
      <c r="R26" s="812">
        <f t="shared" si="2"/>
        <v>14539.692824673622</v>
      </c>
      <c r="S26" s="67"/>
    </row>
    <row r="27" spans="1:19" s="473" customFormat="1" ht="17.25" thickTop="1" thickBot="1">
      <c r="A27" s="706" t="s">
        <v>116</v>
      </c>
      <c r="B27" s="805"/>
      <c r="C27" s="707">
        <f ca="1">C22+C16+C26</f>
        <v>42020.574875145401</v>
      </c>
      <c r="D27" s="707">
        <f t="shared" ref="D27:R27" ca="1" si="3">D22+D16+D26</f>
        <v>15075</v>
      </c>
      <c r="E27" s="707">
        <f t="shared" ca="1" si="3"/>
        <v>22125.323991070934</v>
      </c>
      <c r="F27" s="707">
        <f t="shared" si="3"/>
        <v>3947.1654400701418</v>
      </c>
      <c r="G27" s="707">
        <f t="shared" ca="1" si="3"/>
        <v>58073.536164157718</v>
      </c>
      <c r="H27" s="707">
        <f t="shared" si="3"/>
        <v>30839.308545226093</v>
      </c>
      <c r="I27" s="707">
        <f t="shared" si="3"/>
        <v>8144.933955869571</v>
      </c>
      <c r="J27" s="707">
        <f t="shared" si="3"/>
        <v>0</v>
      </c>
      <c r="K27" s="707">
        <f t="shared" si="3"/>
        <v>1567.1702529381739</v>
      </c>
      <c r="L27" s="707">
        <f t="shared" si="3"/>
        <v>0</v>
      </c>
      <c r="M27" s="707">
        <f t="shared" ca="1" si="3"/>
        <v>0</v>
      </c>
      <c r="N27" s="707">
        <f t="shared" si="3"/>
        <v>2040.3840386508023</v>
      </c>
      <c r="O27" s="707">
        <f t="shared" ca="1" si="3"/>
        <v>15073.493252989449</v>
      </c>
      <c r="P27" s="707">
        <f t="shared" si="3"/>
        <v>136.01000000000002</v>
      </c>
      <c r="Q27" s="707">
        <f t="shared" si="3"/>
        <v>686.40000000000009</v>
      </c>
      <c r="R27" s="707">
        <f t="shared" ca="1" si="3"/>
        <v>199729.30051611827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3377.1085266002688</v>
      </c>
      <c r="D40" s="1013">
        <f ca="1">tertiair!C20</f>
        <v>0</v>
      </c>
      <c r="E40" s="1013">
        <f ca="1">tertiair!D20</f>
        <v>1013.0927761460001</v>
      </c>
      <c r="F40" s="1013">
        <f>tertiair!E20</f>
        <v>65.538142735564549</v>
      </c>
      <c r="G40" s="1013">
        <f ca="1">tertiair!F20</f>
        <v>666.42017767134541</v>
      </c>
      <c r="H40" s="1013">
        <f>tertiair!G20</f>
        <v>0</v>
      </c>
      <c r="I40" s="1013">
        <f>tertiair!H20</f>
        <v>0</v>
      </c>
      <c r="J40" s="1013">
        <f>tertiair!I20</f>
        <v>0</v>
      </c>
      <c r="K40" s="1013">
        <f>tertiair!J20</f>
        <v>1.7691215052720602E-2</v>
      </c>
      <c r="L40" s="1013">
        <f>tertiair!K20</f>
        <v>0</v>
      </c>
      <c r="M40" s="1013">
        <f ca="1">tertiair!L20</f>
        <v>0</v>
      </c>
      <c r="N40" s="1013">
        <f>tertiair!M20</f>
        <v>0</v>
      </c>
      <c r="O40" s="1013">
        <f ca="1">tertiair!N20</f>
        <v>0</v>
      </c>
      <c r="P40" s="1013">
        <f>tertiair!O20</f>
        <v>0</v>
      </c>
      <c r="Q40" s="774">
        <f>tertiair!P20</f>
        <v>0</v>
      </c>
      <c r="R40" s="850">
        <f t="shared" ca="1" si="4"/>
        <v>5122.1773143682312</v>
      </c>
    </row>
    <row r="41" spans="1:18">
      <c r="A41" s="822" t="s">
        <v>225</v>
      </c>
      <c r="B41" s="829"/>
      <c r="C41" s="1013">
        <f ca="1">huishoudens!B12</f>
        <v>2049.5480977438401</v>
      </c>
      <c r="D41" s="1013">
        <f ca="1">huishoudens!C12</f>
        <v>0</v>
      </c>
      <c r="E41" s="1013">
        <f>huishoudens!D12</f>
        <v>2988.8017257142005</v>
      </c>
      <c r="F41" s="1013">
        <f>huishoudens!E12</f>
        <v>758.2192824603726</v>
      </c>
      <c r="G41" s="1013">
        <f>huishoudens!F12</f>
        <v>12111.508712811163</v>
      </c>
      <c r="H41" s="1013">
        <f>huishoudens!G12</f>
        <v>0</v>
      </c>
      <c r="I41" s="1013">
        <f>huishoudens!H12</f>
        <v>0</v>
      </c>
      <c r="J41" s="1013">
        <f>huishoudens!I12</f>
        <v>0</v>
      </c>
      <c r="K41" s="1013">
        <f>huishoudens!J12</f>
        <v>434.37901997854755</v>
      </c>
      <c r="L41" s="1013">
        <f>huishoudens!K12</f>
        <v>0</v>
      </c>
      <c r="M41" s="1013">
        <f>huishoudens!L12</f>
        <v>0</v>
      </c>
      <c r="N41" s="1013">
        <f>huishoudens!M12</f>
        <v>0</v>
      </c>
      <c r="O41" s="1013">
        <f>huishoudens!N12</f>
        <v>0</v>
      </c>
      <c r="P41" s="1013">
        <f>huishoudens!O12</f>
        <v>0</v>
      </c>
      <c r="Q41" s="774">
        <f>huishoudens!P12</f>
        <v>0</v>
      </c>
      <c r="R41" s="850">
        <f t="shared" ca="1" si="4"/>
        <v>18342.456838708124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108.26693341479594</v>
      </c>
      <c r="D43" s="1013">
        <f ca="1">industrie!C22</f>
        <v>0</v>
      </c>
      <c r="E43" s="1013">
        <f>industrie!D22</f>
        <v>117.53914446560002</v>
      </c>
      <c r="F43" s="1013">
        <f>industrie!E22</f>
        <v>35.083812627282505</v>
      </c>
      <c r="G43" s="1013">
        <f>industrie!F22</f>
        <v>117.16166136994781</v>
      </c>
      <c r="H43" s="1013">
        <f>industrie!G22</f>
        <v>0</v>
      </c>
      <c r="I43" s="1013">
        <f>industrie!H22</f>
        <v>0</v>
      </c>
      <c r="J43" s="1013">
        <f>industrie!I22</f>
        <v>0</v>
      </c>
      <c r="K43" s="1013">
        <f>industrie!J22</f>
        <v>1.2923502718782107E-2</v>
      </c>
      <c r="L43" s="1013">
        <f>industrie!K22</f>
        <v>0</v>
      </c>
      <c r="M43" s="1013">
        <f>industrie!L22</f>
        <v>0</v>
      </c>
      <c r="N43" s="1013">
        <f>industrie!M22</f>
        <v>0</v>
      </c>
      <c r="O43" s="1013">
        <f>industrie!N22</f>
        <v>0</v>
      </c>
      <c r="P43" s="1013">
        <f>industrie!O22</f>
        <v>0</v>
      </c>
      <c r="Q43" s="774">
        <f>industrie!P22</f>
        <v>0</v>
      </c>
      <c r="R43" s="849">
        <f t="shared" ca="1" si="4"/>
        <v>378.06447538034502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5534.9235577589043</v>
      </c>
      <c r="D46" s="732">
        <f t="shared" ref="D46:Q46" ca="1" si="5">SUM(D39:D45)</f>
        <v>0</v>
      </c>
      <c r="E46" s="732">
        <f t="shared" ca="1" si="5"/>
        <v>4119.4336463258005</v>
      </c>
      <c r="F46" s="732">
        <f t="shared" si="5"/>
        <v>858.84123782321967</v>
      </c>
      <c r="G46" s="732">
        <f t="shared" ca="1" si="5"/>
        <v>12895.090551852456</v>
      </c>
      <c r="H46" s="732">
        <f t="shared" si="5"/>
        <v>0</v>
      </c>
      <c r="I46" s="732">
        <f t="shared" si="5"/>
        <v>0</v>
      </c>
      <c r="J46" s="732">
        <f t="shared" si="5"/>
        <v>0</v>
      </c>
      <c r="K46" s="732">
        <f t="shared" si="5"/>
        <v>434.40963469631902</v>
      </c>
      <c r="L46" s="732">
        <f t="shared" si="5"/>
        <v>0</v>
      </c>
      <c r="M46" s="732">
        <f t="shared" ca="1" si="5"/>
        <v>0</v>
      </c>
      <c r="N46" s="732">
        <f t="shared" si="5"/>
        <v>0</v>
      </c>
      <c r="O46" s="732">
        <f t="shared" ca="1" si="5"/>
        <v>0</v>
      </c>
      <c r="P46" s="732">
        <f t="shared" si="5"/>
        <v>0</v>
      </c>
      <c r="Q46" s="732">
        <f t="shared" si="5"/>
        <v>0</v>
      </c>
      <c r="R46" s="732">
        <f ca="1">SUM(R39:R45)</f>
        <v>23842.698628456699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274.65299147001394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274.65299147001394</v>
      </c>
    </row>
    <row r="50" spans="1:18">
      <c r="A50" s="825" t="s">
        <v>307</v>
      </c>
      <c r="B50" s="835"/>
      <c r="C50" s="703">
        <f ca="1">transport!B18</f>
        <v>2.4157513201430914</v>
      </c>
      <c r="D50" s="703">
        <f>transport!C18</f>
        <v>0</v>
      </c>
      <c r="E50" s="703">
        <f>transport!D18</f>
        <v>14.742401606528146</v>
      </c>
      <c r="F50" s="703">
        <f>transport!E18</f>
        <v>21.505862442842119</v>
      </c>
      <c r="G50" s="703">
        <f>transport!F18</f>
        <v>0</v>
      </c>
      <c r="H50" s="703">
        <f>transport!G18</f>
        <v>7959.4423901053533</v>
      </c>
      <c r="I50" s="703">
        <f>transport!H18</f>
        <v>2028.0885550115231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10026.194960486389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2.4157513201430914</v>
      </c>
      <c r="D52" s="732">
        <f t="shared" ref="D52:Q52" ca="1" si="6">SUM(D48:D51)</f>
        <v>0</v>
      </c>
      <c r="E52" s="732">
        <f t="shared" si="6"/>
        <v>14.742401606528146</v>
      </c>
      <c r="F52" s="732">
        <f t="shared" si="6"/>
        <v>21.505862442842119</v>
      </c>
      <c r="G52" s="732">
        <f t="shared" si="6"/>
        <v>0</v>
      </c>
      <c r="H52" s="732">
        <f t="shared" si="6"/>
        <v>8234.0953815753674</v>
      </c>
      <c r="I52" s="732">
        <f t="shared" si="6"/>
        <v>2028.0885550115231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10300.847951956403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330.46384828719704</v>
      </c>
      <c r="D54" s="703">
        <f ca="1">+landbouw!C12</f>
        <v>0</v>
      </c>
      <c r="E54" s="703">
        <f>+landbouw!D12</f>
        <v>61.159687864000006</v>
      </c>
      <c r="F54" s="703">
        <f>+landbouw!E12</f>
        <v>15.659454629860447</v>
      </c>
      <c r="G54" s="703">
        <f>+landbouw!F12</f>
        <v>2610.5436039776564</v>
      </c>
      <c r="H54" s="703">
        <f>+landbouw!G12</f>
        <v>0</v>
      </c>
      <c r="I54" s="703">
        <f>+landbouw!H12</f>
        <v>0</v>
      </c>
      <c r="J54" s="703">
        <f>+landbouw!I12</f>
        <v>0</v>
      </c>
      <c r="K54" s="703">
        <f>+landbouw!J12</f>
        <v>120.36863484379448</v>
      </c>
      <c r="L54" s="703">
        <f>+landbouw!K12</f>
        <v>0</v>
      </c>
      <c r="M54" s="703">
        <f>+landbouw!L12</f>
        <v>0</v>
      </c>
      <c r="N54" s="703">
        <f>+landbouw!M12</f>
        <v>0</v>
      </c>
      <c r="O54" s="703">
        <f>+landbouw!N12</f>
        <v>0</v>
      </c>
      <c r="P54" s="703">
        <f>+landbouw!O12</f>
        <v>0</v>
      </c>
      <c r="Q54" s="704">
        <f>+landbouw!P12</f>
        <v>0</v>
      </c>
      <c r="R54" s="731">
        <f ca="1">SUM(C54:Q54)</f>
        <v>3138.1952296025083</v>
      </c>
    </row>
    <row r="55" spans="1:18" ht="15" thickBot="1">
      <c r="A55" s="825" t="s">
        <v>836</v>
      </c>
      <c r="B55" s="835"/>
      <c r="C55" s="703">
        <f ca="1">C25*'EF ele_warmte'!B12</f>
        <v>48.901450753040443</v>
      </c>
      <c r="D55" s="703"/>
      <c r="E55" s="703">
        <f>E25*EF_CO2_aardgas</f>
        <v>273.97971039999999</v>
      </c>
      <c r="F55" s="703"/>
      <c r="G55" s="703"/>
      <c r="H55" s="703"/>
      <c r="I55" s="703"/>
      <c r="J55" s="703"/>
      <c r="K55" s="703"/>
      <c r="L55" s="703"/>
      <c r="M55" s="703"/>
      <c r="N55" s="703"/>
      <c r="O55" s="703"/>
      <c r="P55" s="703"/>
      <c r="Q55" s="704"/>
      <c r="R55" s="731">
        <f ca="1">SUM(C55:Q55)</f>
        <v>322.88116115304041</v>
      </c>
    </row>
    <row r="56" spans="1:18" ht="15.75" thickBot="1">
      <c r="A56" s="823" t="s">
        <v>837</v>
      </c>
      <c r="B56" s="836"/>
      <c r="C56" s="732">
        <f ca="1">SUM(C54:C55)</f>
        <v>379.36529904023746</v>
      </c>
      <c r="D56" s="732">
        <f t="shared" ref="D56:Q56" ca="1" si="7">SUM(D54:D55)</f>
        <v>0</v>
      </c>
      <c r="E56" s="732">
        <f t="shared" si="7"/>
        <v>335.13939826399996</v>
      </c>
      <c r="F56" s="732">
        <f t="shared" si="7"/>
        <v>15.659454629860447</v>
      </c>
      <c r="G56" s="732">
        <f t="shared" si="7"/>
        <v>2610.5436039776564</v>
      </c>
      <c r="H56" s="732">
        <f t="shared" si="7"/>
        <v>0</v>
      </c>
      <c r="I56" s="732">
        <f t="shared" si="7"/>
        <v>0</v>
      </c>
      <c r="J56" s="732">
        <f t="shared" si="7"/>
        <v>0</v>
      </c>
      <c r="K56" s="732">
        <f t="shared" si="7"/>
        <v>120.36863484379448</v>
      </c>
      <c r="L56" s="732">
        <f t="shared" si="7"/>
        <v>0</v>
      </c>
      <c r="M56" s="732">
        <f t="shared" si="7"/>
        <v>0</v>
      </c>
      <c r="N56" s="732">
        <f t="shared" si="7"/>
        <v>0</v>
      </c>
      <c r="O56" s="732">
        <f t="shared" si="7"/>
        <v>0</v>
      </c>
      <c r="P56" s="732">
        <f t="shared" si="7"/>
        <v>0</v>
      </c>
      <c r="Q56" s="733">
        <f t="shared" si="7"/>
        <v>0</v>
      </c>
      <c r="R56" s="734">
        <f ca="1">SUM(R54:R55)</f>
        <v>3461.0763907555488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5916.7046081192857</v>
      </c>
      <c r="D61" s="740">
        <f t="shared" ref="D61:Q61" ca="1" si="8">D46+D52+D56</f>
        <v>0</v>
      </c>
      <c r="E61" s="740">
        <f t="shared" ca="1" si="8"/>
        <v>4469.3154461963286</v>
      </c>
      <c r="F61" s="740">
        <f t="shared" si="8"/>
        <v>896.00655489592225</v>
      </c>
      <c r="G61" s="740">
        <f t="shared" ca="1" si="8"/>
        <v>15505.634155830112</v>
      </c>
      <c r="H61" s="740">
        <f t="shared" si="8"/>
        <v>8234.0953815753674</v>
      </c>
      <c r="I61" s="740">
        <f t="shared" si="8"/>
        <v>2028.0885550115231</v>
      </c>
      <c r="J61" s="740">
        <f t="shared" si="8"/>
        <v>0</v>
      </c>
      <c r="K61" s="740">
        <f t="shared" si="8"/>
        <v>554.77826954011346</v>
      </c>
      <c r="L61" s="740">
        <f t="shared" si="8"/>
        <v>0</v>
      </c>
      <c r="M61" s="740">
        <f t="shared" ca="1" si="8"/>
        <v>0</v>
      </c>
      <c r="N61" s="740">
        <f t="shared" si="8"/>
        <v>0</v>
      </c>
      <c r="O61" s="740">
        <f t="shared" ca="1" si="8"/>
        <v>0</v>
      </c>
      <c r="P61" s="740">
        <f t="shared" si="8"/>
        <v>0</v>
      </c>
      <c r="Q61" s="740">
        <f t="shared" si="8"/>
        <v>0</v>
      </c>
      <c r="R61" s="740">
        <f ca="1">R46+R52+R56</f>
        <v>37604.622971168654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0.14080494200042312</v>
      </c>
      <c r="D63" s="781">
        <f t="shared" ca="1" si="9"/>
        <v>0</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4695.6558338816685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10552.5</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12414.705882352942</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15248.155833881669</v>
      </c>
      <c r="C78" s="755">
        <f>SUM(C72:C77)</f>
        <v>0</v>
      </c>
      <c r="D78" s="756">
        <f t="shared" ref="D78:H78" si="10">SUM(D76:D77)</f>
        <v>0</v>
      </c>
      <c r="E78" s="756">
        <f t="shared" si="10"/>
        <v>0</v>
      </c>
      <c r="F78" s="756">
        <f t="shared" si="10"/>
        <v>0</v>
      </c>
      <c r="G78" s="756">
        <f t="shared" si="10"/>
        <v>0</v>
      </c>
      <c r="H78" s="756">
        <f t="shared" si="10"/>
        <v>0</v>
      </c>
      <c r="I78" s="756">
        <f>SUM(I76:I77)</f>
        <v>0</v>
      </c>
      <c r="J78" s="756">
        <f>SUM(J76:J77)</f>
        <v>12414.705882352942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15075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17735.294117647063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15075</v>
      </c>
      <c r="C90" s="755">
        <f>SUM(C87:C89)</f>
        <v>0</v>
      </c>
      <c r="D90" s="755">
        <f t="shared" ref="D90:H90" si="12">SUM(D87:D89)</f>
        <v>0</v>
      </c>
      <c r="E90" s="755">
        <f t="shared" si="12"/>
        <v>0</v>
      </c>
      <c r="F90" s="755">
        <f t="shared" si="12"/>
        <v>0</v>
      </c>
      <c r="G90" s="755">
        <f t="shared" si="12"/>
        <v>0</v>
      </c>
      <c r="H90" s="755">
        <f t="shared" si="12"/>
        <v>0</v>
      </c>
      <c r="I90" s="755">
        <f>SUM(I87:I89)</f>
        <v>0</v>
      </c>
      <c r="J90" s="755">
        <f>SUM(J87:J89)</f>
        <v>17735.294117647063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14555.938652619743</v>
      </c>
      <c r="C4" s="477">
        <f>huishoudens!C8</f>
        <v>0</v>
      </c>
      <c r="D4" s="477">
        <f>huishoudens!D8</f>
        <v>14796.048147100002</v>
      </c>
      <c r="E4" s="477">
        <f>huishoudens!E8</f>
        <v>3340.173050486223</v>
      </c>
      <c r="F4" s="477">
        <f>huishoudens!F8</f>
        <v>45361.455853225329</v>
      </c>
      <c r="G4" s="477">
        <f>huishoudens!G8</f>
        <v>0</v>
      </c>
      <c r="H4" s="477">
        <f>huishoudens!H8</f>
        <v>0</v>
      </c>
      <c r="I4" s="477">
        <f>huishoudens!I8</f>
        <v>0</v>
      </c>
      <c r="J4" s="477">
        <f>huishoudens!J8</f>
        <v>1227.0593784704733</v>
      </c>
      <c r="K4" s="477">
        <f>huishoudens!K8</f>
        <v>0</v>
      </c>
      <c r="L4" s="477">
        <f>huishoudens!L8</f>
        <v>0</v>
      </c>
      <c r="M4" s="477">
        <f>huishoudens!M8</f>
        <v>0</v>
      </c>
      <c r="N4" s="477">
        <f>huishoudens!N8</f>
        <v>14824.539349862669</v>
      </c>
      <c r="O4" s="477">
        <f>huishoudens!O8</f>
        <v>136.01000000000002</v>
      </c>
      <c r="P4" s="478">
        <f>huishoudens!P8</f>
        <v>667.33333333333337</v>
      </c>
      <c r="Q4" s="479">
        <f>SUM(B4:P4)</f>
        <v>94908.55776509775</v>
      </c>
    </row>
    <row r="5" spans="1:17">
      <c r="A5" s="476" t="s">
        <v>156</v>
      </c>
      <c r="B5" s="477">
        <f ca="1">tertiair!B16</f>
        <v>23410.031949999997</v>
      </c>
      <c r="C5" s="477">
        <f ca="1">tertiair!C16</f>
        <v>15075</v>
      </c>
      <c r="D5" s="477">
        <f ca="1">tertiair!D16</f>
        <v>5015.3107730000002</v>
      </c>
      <c r="E5" s="477">
        <f>tertiair!E16</f>
        <v>288.71428517869845</v>
      </c>
      <c r="F5" s="477">
        <f ca="1">tertiair!F16</f>
        <v>2495.9557216155258</v>
      </c>
      <c r="G5" s="477">
        <f>tertiair!G16</f>
        <v>0</v>
      </c>
      <c r="H5" s="477">
        <f>tertiair!H16</f>
        <v>0</v>
      </c>
      <c r="I5" s="477">
        <f>tertiair!I16</f>
        <v>0</v>
      </c>
      <c r="J5" s="477">
        <f>tertiair!J16</f>
        <v>4.9975183764747466E-2</v>
      </c>
      <c r="K5" s="477">
        <f>tertiair!K16</f>
        <v>0</v>
      </c>
      <c r="L5" s="477">
        <f ca="1">tertiair!L16</f>
        <v>0</v>
      </c>
      <c r="M5" s="477">
        <f>tertiair!M16</f>
        <v>0</v>
      </c>
      <c r="N5" s="477">
        <f ca="1">tertiair!N16</f>
        <v>0</v>
      </c>
      <c r="O5" s="477">
        <f>tertiair!O16</f>
        <v>0</v>
      </c>
      <c r="P5" s="478">
        <f>tertiair!P16</f>
        <v>19.066666666666666</v>
      </c>
      <c r="Q5" s="476">
        <f t="shared" ref="Q5:Q14" ca="1" si="0">SUM(B5:P5)</f>
        <v>46304.129371644645</v>
      </c>
    </row>
    <row r="6" spans="1:17">
      <c r="A6" s="476" t="s">
        <v>194</v>
      </c>
      <c r="B6" s="477">
        <f>'openbare verlichting'!B8</f>
        <v>574.27200000000005</v>
      </c>
      <c r="C6" s="477"/>
      <c r="D6" s="477"/>
      <c r="E6" s="477"/>
      <c r="F6" s="477"/>
      <c r="G6" s="477"/>
      <c r="H6" s="477"/>
      <c r="I6" s="477"/>
      <c r="J6" s="477"/>
      <c r="K6" s="477"/>
      <c r="L6" s="477"/>
      <c r="M6" s="477"/>
      <c r="N6" s="477"/>
      <c r="O6" s="477"/>
      <c r="P6" s="478"/>
      <c r="Q6" s="476">
        <f t="shared" si="0"/>
        <v>574.27200000000005</v>
      </c>
    </row>
    <row r="7" spans="1:17">
      <c r="A7" s="476" t="s">
        <v>112</v>
      </c>
      <c r="B7" s="477">
        <f>landbouw!B8</f>
        <v>2346.962</v>
      </c>
      <c r="C7" s="477">
        <f>landbouw!C8</f>
        <v>0</v>
      </c>
      <c r="D7" s="477">
        <f>landbouw!D8</f>
        <v>302.77073200000001</v>
      </c>
      <c r="E7" s="477">
        <f>landbouw!E8</f>
        <v>68.984381629341172</v>
      </c>
      <c r="F7" s="477">
        <f>landbouw!F8</f>
        <v>9777.3168688301739</v>
      </c>
      <c r="G7" s="477">
        <f>landbouw!G8</f>
        <v>0</v>
      </c>
      <c r="H7" s="477">
        <f>landbouw!H8</f>
        <v>0</v>
      </c>
      <c r="I7" s="477">
        <f>landbouw!I8</f>
        <v>0</v>
      </c>
      <c r="J7" s="477">
        <f>landbouw!J8</f>
        <v>340.02439221410873</v>
      </c>
      <c r="K7" s="477">
        <f>landbouw!K8</f>
        <v>0</v>
      </c>
      <c r="L7" s="477">
        <f>landbouw!L8</f>
        <v>0</v>
      </c>
      <c r="M7" s="477">
        <f>landbouw!M8</f>
        <v>0</v>
      </c>
      <c r="N7" s="477">
        <f>landbouw!N8</f>
        <v>0</v>
      </c>
      <c r="O7" s="477">
        <f>landbouw!O8</f>
        <v>0</v>
      </c>
      <c r="P7" s="478">
        <f>landbouw!P8</f>
        <v>0</v>
      </c>
      <c r="Q7" s="476">
        <f t="shared" si="0"/>
        <v>12836.058374673623</v>
      </c>
    </row>
    <row r="8" spans="1:17">
      <c r="A8" s="476" t="s">
        <v>635</v>
      </c>
      <c r="B8" s="477">
        <f>industrie!B18</f>
        <v>768.91430000000003</v>
      </c>
      <c r="C8" s="477">
        <f>industrie!C18</f>
        <v>0</v>
      </c>
      <c r="D8" s="477">
        <f>industrie!D18</f>
        <v>581.87695280000003</v>
      </c>
      <c r="E8" s="477">
        <f>industrie!E18</f>
        <v>154.5542406488216</v>
      </c>
      <c r="F8" s="477">
        <f>industrie!F18</f>
        <v>438.80772048669587</v>
      </c>
      <c r="G8" s="477">
        <f>industrie!G18</f>
        <v>0</v>
      </c>
      <c r="H8" s="477">
        <f>industrie!H18</f>
        <v>0</v>
      </c>
      <c r="I8" s="477">
        <f>industrie!I18</f>
        <v>0</v>
      </c>
      <c r="J8" s="477">
        <f>industrie!J18</f>
        <v>3.6507069827068098E-2</v>
      </c>
      <c r="K8" s="477">
        <f>industrie!K18</f>
        <v>0</v>
      </c>
      <c r="L8" s="477">
        <f>industrie!L18</f>
        <v>0</v>
      </c>
      <c r="M8" s="477">
        <f>industrie!M18</f>
        <v>0</v>
      </c>
      <c r="N8" s="477">
        <f>industrie!N18</f>
        <v>248.95390312677875</v>
      </c>
      <c r="O8" s="477">
        <f>industrie!O18</f>
        <v>0</v>
      </c>
      <c r="P8" s="478">
        <f>industrie!P18</f>
        <v>0</v>
      </c>
      <c r="Q8" s="476">
        <f t="shared" si="0"/>
        <v>2193.1436241321235</v>
      </c>
    </row>
    <row r="9" spans="1:17" s="482" customFormat="1">
      <c r="A9" s="480" t="s">
        <v>561</v>
      </c>
      <c r="B9" s="481">
        <f>transport!B14</f>
        <v>17.156722525661294</v>
      </c>
      <c r="C9" s="481">
        <f>transport!C14</f>
        <v>0</v>
      </c>
      <c r="D9" s="481">
        <f>transport!D14</f>
        <v>72.982186170931413</v>
      </c>
      <c r="E9" s="481">
        <f>transport!E14</f>
        <v>94.739482127057784</v>
      </c>
      <c r="F9" s="481">
        <f>transport!F14</f>
        <v>0</v>
      </c>
      <c r="G9" s="481">
        <f>transport!G14</f>
        <v>29810.64565582529</v>
      </c>
      <c r="H9" s="481">
        <f>transport!H14</f>
        <v>8144.933955869571</v>
      </c>
      <c r="I9" s="481">
        <f>transport!I14</f>
        <v>0</v>
      </c>
      <c r="J9" s="481">
        <f>transport!J14</f>
        <v>0</v>
      </c>
      <c r="K9" s="481">
        <f>transport!K14</f>
        <v>0</v>
      </c>
      <c r="L9" s="481">
        <f>transport!L14</f>
        <v>0</v>
      </c>
      <c r="M9" s="481">
        <f>transport!M14</f>
        <v>1981.960527643736</v>
      </c>
      <c r="N9" s="481">
        <f>transport!N14</f>
        <v>0</v>
      </c>
      <c r="O9" s="481">
        <f>transport!O14</f>
        <v>0</v>
      </c>
      <c r="P9" s="481">
        <f>transport!P14</f>
        <v>0</v>
      </c>
      <c r="Q9" s="480">
        <f>SUM(B9:P9)</f>
        <v>40122.418530162249</v>
      </c>
    </row>
    <row r="10" spans="1:17">
      <c r="A10" s="476" t="s">
        <v>551</v>
      </c>
      <c r="B10" s="477">
        <f>transport!B54</f>
        <v>0</v>
      </c>
      <c r="C10" s="477">
        <f>transport!C54</f>
        <v>0</v>
      </c>
      <c r="D10" s="477">
        <f>transport!D54</f>
        <v>0</v>
      </c>
      <c r="E10" s="477">
        <f>transport!E54</f>
        <v>0</v>
      </c>
      <c r="F10" s="477">
        <f>transport!F54</f>
        <v>0</v>
      </c>
      <c r="G10" s="477">
        <f>transport!G54</f>
        <v>1028.6628894008013</v>
      </c>
      <c r="H10" s="477">
        <f>transport!H54</f>
        <v>0</v>
      </c>
      <c r="I10" s="477">
        <f>transport!I54</f>
        <v>0</v>
      </c>
      <c r="J10" s="477">
        <f>transport!J54</f>
        <v>0</v>
      </c>
      <c r="K10" s="477">
        <f>transport!K54</f>
        <v>0</v>
      </c>
      <c r="L10" s="477">
        <f>transport!L54</f>
        <v>0</v>
      </c>
      <c r="M10" s="477">
        <f>transport!M54</f>
        <v>58.423511007066288</v>
      </c>
      <c r="N10" s="477">
        <f>transport!N54</f>
        <v>0</v>
      </c>
      <c r="O10" s="477">
        <f>transport!O54</f>
        <v>0</v>
      </c>
      <c r="P10" s="478">
        <f>transport!P54</f>
        <v>0</v>
      </c>
      <c r="Q10" s="476">
        <f t="shared" si="0"/>
        <v>1087.0864004078676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347.29924999999997</v>
      </c>
      <c r="C14" s="484"/>
      <c r="D14" s="484">
        <f>'SEAP template'!E25</f>
        <v>1356.3352</v>
      </c>
      <c r="E14" s="484"/>
      <c r="F14" s="484"/>
      <c r="G14" s="484"/>
      <c r="H14" s="484"/>
      <c r="I14" s="484"/>
      <c r="J14" s="484"/>
      <c r="K14" s="484"/>
      <c r="L14" s="484"/>
      <c r="M14" s="484"/>
      <c r="N14" s="484"/>
      <c r="O14" s="484"/>
      <c r="P14" s="485"/>
      <c r="Q14" s="476">
        <f t="shared" si="0"/>
        <v>1703.63445</v>
      </c>
    </row>
    <row r="15" spans="1:17" s="486" customFormat="1">
      <c r="A15" s="1039" t="s">
        <v>555</v>
      </c>
      <c r="B15" s="987">
        <f ca="1">SUM(B4:B14)</f>
        <v>42020.574875145387</v>
      </c>
      <c r="C15" s="987">
        <f t="shared" ref="C15:Q15" ca="1" si="1">SUM(C4:C14)</f>
        <v>15075</v>
      </c>
      <c r="D15" s="987">
        <f t="shared" ca="1" si="1"/>
        <v>22125.323991070938</v>
      </c>
      <c r="E15" s="987">
        <f t="shared" si="1"/>
        <v>3947.1654400701418</v>
      </c>
      <c r="F15" s="987">
        <f t="shared" ca="1" si="1"/>
        <v>58073.536164157718</v>
      </c>
      <c r="G15" s="987">
        <f t="shared" si="1"/>
        <v>30839.308545226093</v>
      </c>
      <c r="H15" s="987">
        <f t="shared" si="1"/>
        <v>8144.933955869571</v>
      </c>
      <c r="I15" s="987">
        <f t="shared" si="1"/>
        <v>0</v>
      </c>
      <c r="J15" s="987">
        <f t="shared" si="1"/>
        <v>1567.1702529381739</v>
      </c>
      <c r="K15" s="987">
        <f t="shared" si="1"/>
        <v>0</v>
      </c>
      <c r="L15" s="987">
        <f t="shared" ca="1" si="1"/>
        <v>0</v>
      </c>
      <c r="M15" s="987">
        <f t="shared" si="1"/>
        <v>2040.3840386508023</v>
      </c>
      <c r="N15" s="987">
        <f t="shared" ca="1" si="1"/>
        <v>15073.493252989449</v>
      </c>
      <c r="O15" s="987">
        <f t="shared" si="1"/>
        <v>136.01000000000002</v>
      </c>
      <c r="P15" s="987">
        <f t="shared" si="1"/>
        <v>686.40000000000009</v>
      </c>
      <c r="Q15" s="987">
        <f t="shared" ca="1" si="1"/>
        <v>199729.30051611827</v>
      </c>
    </row>
    <row r="17" spans="1:17">
      <c r="A17" s="487" t="s">
        <v>556</v>
      </c>
      <c r="B17" s="786">
        <f ca="1">huishoudens!B10</f>
        <v>0.14080494200042312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2049.5480977438401</v>
      </c>
      <c r="C22" s="477">
        <f t="shared" ref="C22:C32" ca="1" si="3">C4*$C$17</f>
        <v>0</v>
      </c>
      <c r="D22" s="477">
        <f t="shared" ref="D22:D32" si="4">D4*$D$17</f>
        <v>2988.8017257142005</v>
      </c>
      <c r="E22" s="477">
        <f t="shared" ref="E22:E32" si="5">E4*$E$17</f>
        <v>758.2192824603726</v>
      </c>
      <c r="F22" s="477">
        <f t="shared" ref="F22:F32" si="6">F4*$F$17</f>
        <v>12111.508712811163</v>
      </c>
      <c r="G22" s="477">
        <f t="shared" ref="G22:G32" si="7">G4*$G$17</f>
        <v>0</v>
      </c>
      <c r="H22" s="477">
        <f t="shared" ref="H22:H32" si="8">H4*$H$17</f>
        <v>0</v>
      </c>
      <c r="I22" s="477">
        <f t="shared" ref="I22:I32" si="9">I4*$I$17</f>
        <v>0</v>
      </c>
      <c r="J22" s="477">
        <f t="shared" ref="J22:J32" si="10">J4*$J$17</f>
        <v>434.37901997854755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18342.456838708124</v>
      </c>
    </row>
    <row r="23" spans="1:17">
      <c r="A23" s="476" t="s">
        <v>156</v>
      </c>
      <c r="B23" s="477">
        <f t="shared" ca="1" si="2"/>
        <v>3296.248190947802</v>
      </c>
      <c r="C23" s="477">
        <f t="shared" ca="1" si="3"/>
        <v>0</v>
      </c>
      <c r="D23" s="477">
        <f t="shared" ca="1" si="4"/>
        <v>1013.0927761460001</v>
      </c>
      <c r="E23" s="477">
        <f t="shared" si="5"/>
        <v>65.538142735564549</v>
      </c>
      <c r="F23" s="477">
        <f t="shared" ca="1" si="6"/>
        <v>666.42017767134541</v>
      </c>
      <c r="G23" s="477">
        <f t="shared" si="7"/>
        <v>0</v>
      </c>
      <c r="H23" s="477">
        <f t="shared" si="8"/>
        <v>0</v>
      </c>
      <c r="I23" s="477">
        <f t="shared" si="9"/>
        <v>0</v>
      </c>
      <c r="J23" s="477">
        <f t="shared" si="10"/>
        <v>1.7691215052720602E-2</v>
      </c>
      <c r="K23" s="477">
        <f t="shared" si="11"/>
        <v>0</v>
      </c>
      <c r="L23" s="477">
        <f t="shared" ca="1" si="12"/>
        <v>0</v>
      </c>
      <c r="M23" s="477">
        <f t="shared" si="13"/>
        <v>0</v>
      </c>
      <c r="N23" s="477">
        <f t="shared" ca="1" si="14"/>
        <v>0</v>
      </c>
      <c r="O23" s="477">
        <f t="shared" si="15"/>
        <v>0</v>
      </c>
      <c r="P23" s="478">
        <f t="shared" si="16"/>
        <v>0</v>
      </c>
      <c r="Q23" s="476">
        <f t="shared" ref="Q23:Q32" ca="1" si="17">SUM(B23:P23)</f>
        <v>5041.316978715764</v>
      </c>
    </row>
    <row r="24" spans="1:17">
      <c r="A24" s="476" t="s">
        <v>194</v>
      </c>
      <c r="B24" s="477">
        <f t="shared" ca="1" si="2"/>
        <v>80.860335652467001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80.860335652467001</v>
      </c>
    </row>
    <row r="25" spans="1:17">
      <c r="A25" s="476" t="s">
        <v>112</v>
      </c>
      <c r="B25" s="477">
        <f t="shared" ca="1" si="2"/>
        <v>330.46384828719704</v>
      </c>
      <c r="C25" s="477">
        <f t="shared" ca="1" si="3"/>
        <v>0</v>
      </c>
      <c r="D25" s="477">
        <f t="shared" si="4"/>
        <v>61.159687864000006</v>
      </c>
      <c r="E25" s="477">
        <f t="shared" si="5"/>
        <v>15.659454629860447</v>
      </c>
      <c r="F25" s="477">
        <f t="shared" si="6"/>
        <v>2610.5436039776564</v>
      </c>
      <c r="G25" s="477">
        <f t="shared" si="7"/>
        <v>0</v>
      </c>
      <c r="H25" s="477">
        <f t="shared" si="8"/>
        <v>0</v>
      </c>
      <c r="I25" s="477">
        <f t="shared" si="9"/>
        <v>0</v>
      </c>
      <c r="J25" s="477">
        <f t="shared" si="10"/>
        <v>120.36863484379448</v>
      </c>
      <c r="K25" s="477">
        <f t="shared" si="11"/>
        <v>0</v>
      </c>
      <c r="L25" s="477">
        <f t="shared" si="12"/>
        <v>0</v>
      </c>
      <c r="M25" s="477">
        <f t="shared" si="13"/>
        <v>0</v>
      </c>
      <c r="N25" s="477">
        <f t="shared" si="14"/>
        <v>0</v>
      </c>
      <c r="O25" s="477">
        <f t="shared" si="15"/>
        <v>0</v>
      </c>
      <c r="P25" s="478">
        <f t="shared" si="16"/>
        <v>0</v>
      </c>
      <c r="Q25" s="476">
        <f t="shared" ca="1" si="17"/>
        <v>3138.1952296025083</v>
      </c>
    </row>
    <row r="26" spans="1:17">
      <c r="A26" s="476" t="s">
        <v>635</v>
      </c>
      <c r="B26" s="477">
        <f t="shared" ca="1" si="2"/>
        <v>108.26693341479594</v>
      </c>
      <c r="C26" s="477">
        <f t="shared" ca="1" si="3"/>
        <v>0</v>
      </c>
      <c r="D26" s="477">
        <f t="shared" si="4"/>
        <v>117.53914446560002</v>
      </c>
      <c r="E26" s="477">
        <f t="shared" si="5"/>
        <v>35.083812627282505</v>
      </c>
      <c r="F26" s="477">
        <f t="shared" si="6"/>
        <v>117.16166136994781</v>
      </c>
      <c r="G26" s="477">
        <f t="shared" si="7"/>
        <v>0</v>
      </c>
      <c r="H26" s="477">
        <f t="shared" si="8"/>
        <v>0</v>
      </c>
      <c r="I26" s="477">
        <f t="shared" si="9"/>
        <v>0</v>
      </c>
      <c r="J26" s="477">
        <f t="shared" si="10"/>
        <v>1.2923502718782107E-2</v>
      </c>
      <c r="K26" s="477">
        <f t="shared" si="11"/>
        <v>0</v>
      </c>
      <c r="L26" s="477">
        <f t="shared" si="12"/>
        <v>0</v>
      </c>
      <c r="M26" s="477">
        <f t="shared" si="13"/>
        <v>0</v>
      </c>
      <c r="N26" s="477">
        <f t="shared" si="14"/>
        <v>0</v>
      </c>
      <c r="O26" s="477">
        <f t="shared" si="15"/>
        <v>0</v>
      </c>
      <c r="P26" s="478">
        <f t="shared" si="16"/>
        <v>0</v>
      </c>
      <c r="Q26" s="476">
        <f t="shared" ca="1" si="17"/>
        <v>378.06447538034502</v>
      </c>
    </row>
    <row r="27" spans="1:17" s="482" customFormat="1">
      <c r="A27" s="480" t="s">
        <v>561</v>
      </c>
      <c r="B27" s="780">
        <f t="shared" ca="1" si="2"/>
        <v>2.4157513201430914</v>
      </c>
      <c r="C27" s="481">
        <f t="shared" ca="1" si="3"/>
        <v>0</v>
      </c>
      <c r="D27" s="481">
        <f t="shared" si="4"/>
        <v>14.742401606528146</v>
      </c>
      <c r="E27" s="481">
        <f t="shared" si="5"/>
        <v>21.505862442842119</v>
      </c>
      <c r="F27" s="481">
        <f t="shared" si="6"/>
        <v>0</v>
      </c>
      <c r="G27" s="481">
        <f t="shared" si="7"/>
        <v>7959.4423901053533</v>
      </c>
      <c r="H27" s="481">
        <f t="shared" si="8"/>
        <v>2028.0885550115231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10026.194960486389</v>
      </c>
    </row>
    <row r="28" spans="1:17">
      <c r="A28" s="476" t="s">
        <v>551</v>
      </c>
      <c r="B28" s="477">
        <f t="shared" ca="1" si="2"/>
        <v>0</v>
      </c>
      <c r="C28" s="477">
        <f t="shared" ca="1" si="3"/>
        <v>0</v>
      </c>
      <c r="D28" s="477">
        <f t="shared" si="4"/>
        <v>0</v>
      </c>
      <c r="E28" s="477">
        <f t="shared" si="5"/>
        <v>0</v>
      </c>
      <c r="F28" s="477">
        <f t="shared" si="6"/>
        <v>0</v>
      </c>
      <c r="G28" s="477">
        <f t="shared" si="7"/>
        <v>274.65299147001394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274.65299147001394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48.901450753040443</v>
      </c>
      <c r="C32" s="477">
        <f t="shared" ca="1" si="3"/>
        <v>0</v>
      </c>
      <c r="D32" s="477">
        <f t="shared" si="4"/>
        <v>273.97971039999999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322.88116115304041</v>
      </c>
    </row>
    <row r="33" spans="1:17" s="486" customFormat="1">
      <c r="A33" s="1039" t="s">
        <v>555</v>
      </c>
      <c r="B33" s="987">
        <f ca="1">SUM(B22:B32)</f>
        <v>5916.7046081192857</v>
      </c>
      <c r="C33" s="987">
        <f t="shared" ref="C33:Q33" ca="1" si="18">SUM(C22:C32)</f>
        <v>0</v>
      </c>
      <c r="D33" s="987">
        <f t="shared" ca="1" si="18"/>
        <v>4469.3154461963286</v>
      </c>
      <c r="E33" s="987">
        <f t="shared" si="18"/>
        <v>896.00655489592225</v>
      </c>
      <c r="F33" s="987">
        <f t="shared" ca="1" si="18"/>
        <v>15505.634155830112</v>
      </c>
      <c r="G33" s="987">
        <f t="shared" si="18"/>
        <v>8234.0953815753674</v>
      </c>
      <c r="H33" s="987">
        <f t="shared" si="18"/>
        <v>2028.0885550115231</v>
      </c>
      <c r="I33" s="987">
        <f t="shared" si="18"/>
        <v>0</v>
      </c>
      <c r="J33" s="987">
        <f t="shared" si="18"/>
        <v>554.77826954011346</v>
      </c>
      <c r="K33" s="987">
        <f t="shared" si="18"/>
        <v>0</v>
      </c>
      <c r="L33" s="987">
        <f t="shared" ca="1" si="18"/>
        <v>0</v>
      </c>
      <c r="M33" s="987">
        <f t="shared" si="18"/>
        <v>0</v>
      </c>
      <c r="N33" s="987">
        <f t="shared" ca="1" si="18"/>
        <v>0</v>
      </c>
      <c r="O33" s="987">
        <f t="shared" si="18"/>
        <v>0</v>
      </c>
      <c r="P33" s="987">
        <f t="shared" si="18"/>
        <v>0</v>
      </c>
      <c r="Q33" s="987">
        <f t="shared" ca="1" si="18"/>
        <v>37604.622971168654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4695.6558338816685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10552.5</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12414.705882352942</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15248.155833881669</v>
      </c>
      <c r="C10" s="1060">
        <f>SUM(C4:C9)</f>
        <v>0</v>
      </c>
      <c r="D10" s="1060">
        <f t="shared" ref="D10:H10" si="0">SUM(D8:D9)</f>
        <v>0</v>
      </c>
      <c r="E10" s="1060">
        <f t="shared" si="0"/>
        <v>0</v>
      </c>
      <c r="F10" s="1060">
        <f t="shared" si="0"/>
        <v>0</v>
      </c>
      <c r="G10" s="1060">
        <f t="shared" si="0"/>
        <v>0</v>
      </c>
      <c r="H10" s="1060">
        <f t="shared" si="0"/>
        <v>0</v>
      </c>
      <c r="I10" s="1060">
        <f>SUM(I8:I9)</f>
        <v>0</v>
      </c>
      <c r="J10" s="1060">
        <f>SUM(J8:J9)</f>
        <v>12414.705882352942</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0.14080494200042312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15075</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17735.294117647063</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15075</v>
      </c>
      <c r="C20" s="1060">
        <f>SUM(C17:C19)</f>
        <v>0</v>
      </c>
      <c r="D20" s="1060">
        <f t="shared" ref="D20:H20" si="2">SUM(D17:D19)</f>
        <v>0</v>
      </c>
      <c r="E20" s="1060">
        <f t="shared" si="2"/>
        <v>0</v>
      </c>
      <c r="F20" s="1060">
        <f t="shared" si="2"/>
        <v>0</v>
      </c>
      <c r="G20" s="1060">
        <f t="shared" si="2"/>
        <v>0</v>
      </c>
      <c r="H20" s="1060">
        <f t="shared" si="2"/>
        <v>0</v>
      </c>
      <c r="I20" s="1060">
        <f>SUM(I17:I19)</f>
        <v>0</v>
      </c>
      <c r="J20" s="1060">
        <f>SUM(J17:J19)</f>
        <v>17735.294117647063</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0.14080494200042312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0.14080494200042312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0.14080494200042312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3471</v>
      </c>
      <c r="C9" s="342">
        <v>3697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3010.52</v>
      </c>
    </row>
    <row r="15" spans="1:6">
      <c r="A15" s="348" t="s">
        <v>184</v>
      </c>
      <c r="B15" s="334">
        <v>1808</v>
      </c>
    </row>
    <row r="16" spans="1:6">
      <c r="A16" s="348" t="s">
        <v>6</v>
      </c>
      <c r="B16" s="334">
        <v>129</v>
      </c>
    </row>
    <row r="17" spans="1:6">
      <c r="A17" s="348" t="s">
        <v>7</v>
      </c>
      <c r="B17" s="334">
        <v>393</v>
      </c>
    </row>
    <row r="18" spans="1:6">
      <c r="A18" s="348" t="s">
        <v>8</v>
      </c>
      <c r="B18" s="334">
        <v>311</v>
      </c>
    </row>
    <row r="19" spans="1:6">
      <c r="A19" s="348" t="s">
        <v>9</v>
      </c>
      <c r="B19" s="334">
        <v>167</v>
      </c>
    </row>
    <row r="20" spans="1:6">
      <c r="A20" s="348" t="s">
        <v>10</v>
      </c>
      <c r="B20" s="334">
        <v>298</v>
      </c>
    </row>
    <row r="21" spans="1:6">
      <c r="A21" s="348" t="s">
        <v>11</v>
      </c>
      <c r="B21" s="334">
        <v>3717</v>
      </c>
    </row>
    <row r="22" spans="1:6">
      <c r="A22" s="348" t="s">
        <v>12</v>
      </c>
      <c r="B22" s="334">
        <v>5863</v>
      </c>
    </row>
    <row r="23" spans="1:6">
      <c r="A23" s="348" t="s">
        <v>13</v>
      </c>
      <c r="B23" s="334">
        <v>31</v>
      </c>
    </row>
    <row r="24" spans="1:6">
      <c r="A24" s="348" t="s">
        <v>14</v>
      </c>
      <c r="B24" s="334">
        <v>0</v>
      </c>
    </row>
    <row r="25" spans="1:6">
      <c r="A25" s="348" t="s">
        <v>15</v>
      </c>
      <c r="B25" s="334">
        <v>506</v>
      </c>
    </row>
    <row r="26" spans="1:6">
      <c r="A26" s="348" t="s">
        <v>16</v>
      </c>
      <c r="B26" s="334">
        <v>167</v>
      </c>
    </row>
    <row r="27" spans="1:6">
      <c r="A27" s="348" t="s">
        <v>17</v>
      </c>
      <c r="B27" s="334">
        <v>3</v>
      </c>
    </row>
    <row r="28" spans="1:6" s="356" customFormat="1">
      <c r="A28" s="355" t="s">
        <v>18</v>
      </c>
      <c r="B28" s="355">
        <v>86141</v>
      </c>
    </row>
    <row r="29" spans="1:6">
      <c r="A29" s="355" t="s">
        <v>744</v>
      </c>
      <c r="B29" s="355">
        <v>292</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104229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1040</v>
      </c>
      <c r="D39" s="334">
        <v>16403601.050000001</v>
      </c>
      <c r="E39" s="334">
        <v>3348</v>
      </c>
      <c r="F39" s="334">
        <v>11935579.699999999</v>
      </c>
    </row>
    <row r="40" spans="1:6">
      <c r="A40" s="348" t="s">
        <v>30</v>
      </c>
      <c r="B40" s="348" t="s">
        <v>29</v>
      </c>
      <c r="C40" s="334">
        <v>0</v>
      </c>
      <c r="D40" s="334">
        <v>0</v>
      </c>
      <c r="E40" s="334">
        <v>0</v>
      </c>
      <c r="F40" s="334">
        <v>0</v>
      </c>
    </row>
    <row r="41" spans="1:6">
      <c r="A41" s="348" t="s">
        <v>32</v>
      </c>
      <c r="B41" s="348" t="s">
        <v>33</v>
      </c>
      <c r="C41" s="334">
        <v>25</v>
      </c>
      <c r="D41" s="334">
        <v>558419.4</v>
      </c>
      <c r="E41" s="334">
        <v>68</v>
      </c>
      <c r="F41" s="334">
        <v>523753.3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64303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39773</v>
      </c>
      <c r="E47" s="334">
        <v>4</v>
      </c>
      <c r="F47" s="334">
        <v>21517</v>
      </c>
    </row>
    <row r="48" spans="1:6">
      <c r="A48" s="348" t="s">
        <v>32</v>
      </c>
      <c r="B48" s="348" t="s">
        <v>29</v>
      </c>
      <c r="C48" s="334">
        <v>2</v>
      </c>
      <c r="D48" s="334">
        <v>46904</v>
      </c>
      <c r="E48" s="334">
        <v>2</v>
      </c>
      <c r="F48" s="334">
        <v>9268</v>
      </c>
    </row>
    <row r="49" spans="1:6">
      <c r="A49" s="348" t="s">
        <v>32</v>
      </c>
      <c r="B49" s="348" t="s">
        <v>40</v>
      </c>
      <c r="C49" s="334">
        <v>0</v>
      </c>
      <c r="D49" s="334">
        <v>0</v>
      </c>
      <c r="E49" s="334">
        <v>0</v>
      </c>
      <c r="F49" s="334">
        <v>0</v>
      </c>
    </row>
    <row r="50" spans="1:6">
      <c r="A50" s="348" t="s">
        <v>32</v>
      </c>
      <c r="B50" s="348" t="s">
        <v>41</v>
      </c>
      <c r="C50" s="334">
        <v>0</v>
      </c>
      <c r="D50" s="334">
        <v>0</v>
      </c>
      <c r="E50" s="334">
        <v>5</v>
      </c>
      <c r="F50" s="334">
        <v>150073</v>
      </c>
    </row>
    <row r="51" spans="1:6">
      <c r="A51" s="348" t="s">
        <v>42</v>
      </c>
      <c r="B51" s="348" t="s">
        <v>43</v>
      </c>
      <c r="C51" s="334">
        <v>12</v>
      </c>
      <c r="D51" s="334">
        <v>335666</v>
      </c>
      <c r="E51" s="334">
        <v>89</v>
      </c>
      <c r="F51" s="334">
        <v>2346962</v>
      </c>
    </row>
    <row r="52" spans="1:6">
      <c r="A52" s="348" t="s">
        <v>42</v>
      </c>
      <c r="B52" s="348" t="s">
        <v>29</v>
      </c>
      <c r="C52" s="334">
        <v>0</v>
      </c>
      <c r="D52" s="334">
        <v>0</v>
      </c>
      <c r="E52" s="334">
        <v>0</v>
      </c>
      <c r="F52" s="334">
        <v>0</v>
      </c>
    </row>
    <row r="53" spans="1:6">
      <c r="A53" s="348" t="s">
        <v>44</v>
      </c>
      <c r="B53" s="348" t="s">
        <v>45</v>
      </c>
      <c r="C53" s="334">
        <v>25</v>
      </c>
      <c r="D53" s="334">
        <v>1356335.2</v>
      </c>
      <c r="E53" s="334">
        <v>80</v>
      </c>
      <c r="F53" s="334">
        <v>347299.25</v>
      </c>
    </row>
    <row r="54" spans="1:6">
      <c r="A54" s="348" t="s">
        <v>46</v>
      </c>
      <c r="B54" s="348" t="s">
        <v>47</v>
      </c>
      <c r="C54" s="334">
        <v>0</v>
      </c>
      <c r="D54" s="334">
        <v>0</v>
      </c>
      <c r="E54" s="334">
        <v>1</v>
      </c>
      <c r="F54" s="334">
        <v>574272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134468</v>
      </c>
      <c r="E57" s="334">
        <v>67</v>
      </c>
      <c r="F57" s="334">
        <v>2301340</v>
      </c>
    </row>
    <row r="58" spans="1:6">
      <c r="A58" s="348" t="s">
        <v>49</v>
      </c>
      <c r="B58" s="348" t="s">
        <v>51</v>
      </c>
      <c r="C58" s="334">
        <v>9</v>
      </c>
      <c r="D58" s="334">
        <v>1075294.6000000001</v>
      </c>
      <c r="E58" s="334">
        <v>16</v>
      </c>
      <c r="F58" s="334">
        <v>521393.8</v>
      </c>
    </row>
    <row r="59" spans="1:6">
      <c r="A59" s="348" t="s">
        <v>49</v>
      </c>
      <c r="B59" s="348" t="s">
        <v>52</v>
      </c>
      <c r="C59" s="334">
        <v>31</v>
      </c>
      <c r="D59" s="334">
        <v>930821</v>
      </c>
      <c r="E59" s="334">
        <v>110</v>
      </c>
      <c r="F59" s="334">
        <v>7478742.7999999998</v>
      </c>
    </row>
    <row r="60" spans="1:6">
      <c r="A60" s="348" t="s">
        <v>49</v>
      </c>
      <c r="B60" s="348" t="s">
        <v>53</v>
      </c>
      <c r="C60" s="334">
        <v>21</v>
      </c>
      <c r="D60" s="334">
        <v>710247</v>
      </c>
      <c r="E60" s="334">
        <v>33</v>
      </c>
      <c r="F60" s="334">
        <v>686885</v>
      </c>
    </row>
    <row r="61" spans="1:6">
      <c r="A61" s="348" t="s">
        <v>49</v>
      </c>
      <c r="B61" s="348" t="s">
        <v>54</v>
      </c>
      <c r="C61" s="334">
        <v>57</v>
      </c>
      <c r="D61" s="334">
        <v>1925078.9</v>
      </c>
      <c r="E61" s="334">
        <v>110</v>
      </c>
      <c r="F61" s="334">
        <v>1546799.35</v>
      </c>
    </row>
    <row r="62" spans="1:6">
      <c r="A62" s="348" t="s">
        <v>49</v>
      </c>
      <c r="B62" s="348" t="s">
        <v>55</v>
      </c>
      <c r="C62" s="334">
        <v>4</v>
      </c>
      <c r="D62" s="334">
        <v>784302</v>
      </c>
      <c r="E62" s="334">
        <v>11</v>
      </c>
      <c r="F62" s="334">
        <v>313239</v>
      </c>
    </row>
    <row r="63" spans="1:6">
      <c r="A63" s="348" t="s">
        <v>49</v>
      </c>
      <c r="B63" s="348" t="s">
        <v>29</v>
      </c>
      <c r="C63" s="334">
        <v>0</v>
      </c>
      <c r="D63" s="334">
        <v>0</v>
      </c>
      <c r="E63" s="334">
        <v>1</v>
      </c>
      <c r="F63" s="334">
        <v>9132</v>
      </c>
    </row>
    <row r="64" spans="1:6">
      <c r="A64" s="348" t="s">
        <v>56</v>
      </c>
      <c r="B64" s="348" t="s">
        <v>57</v>
      </c>
      <c r="C64" s="334">
        <v>0</v>
      </c>
      <c r="D64" s="334">
        <v>0</v>
      </c>
      <c r="E64" s="334">
        <v>0</v>
      </c>
      <c r="F64" s="334">
        <v>0</v>
      </c>
    </row>
    <row r="65" spans="1:6">
      <c r="A65" s="348" t="s">
        <v>56</v>
      </c>
      <c r="B65" s="348" t="s">
        <v>29</v>
      </c>
      <c r="C65" s="334">
        <v>0</v>
      </c>
      <c r="D65" s="334">
        <v>0</v>
      </c>
      <c r="E65" s="334">
        <v>2</v>
      </c>
      <c r="F65" s="334">
        <v>81665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31053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20167773</v>
      </c>
      <c r="E73" s="475">
        <v>20417929.102013558</v>
      </c>
    </row>
    <row r="74" spans="1:6">
      <c r="A74" s="348" t="s">
        <v>64</v>
      </c>
      <c r="B74" s="348" t="s">
        <v>657</v>
      </c>
      <c r="C74" s="1295" t="s">
        <v>659</v>
      </c>
      <c r="D74" s="475">
        <v>1562352</v>
      </c>
      <c r="E74" s="475">
        <v>1585752.7603843031</v>
      </c>
    </row>
    <row r="75" spans="1:6">
      <c r="A75" s="348" t="s">
        <v>65</v>
      </c>
      <c r="B75" s="348" t="s">
        <v>656</v>
      </c>
      <c r="C75" s="1295" t="s">
        <v>660</v>
      </c>
      <c r="D75" s="475">
        <v>23443254</v>
      </c>
      <c r="E75" s="475">
        <v>23756533.044236626</v>
      </c>
    </row>
    <row r="76" spans="1:6">
      <c r="A76" s="348" t="s">
        <v>65</v>
      </c>
      <c r="B76" s="348" t="s">
        <v>657</v>
      </c>
      <c r="C76" s="1295" t="s">
        <v>661</v>
      </c>
      <c r="D76" s="475">
        <v>699674</v>
      </c>
      <c r="E76" s="475">
        <v>714591.40027374215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294836</v>
      </c>
      <c r="C83" s="475">
        <v>295237.24432842928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2620.3589526197443</v>
      </c>
    </row>
    <row r="92" spans="1:6">
      <c r="A92" s="341" t="s">
        <v>69</v>
      </c>
      <c r="B92" s="342">
        <v>2075.2968812619242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248</v>
      </c>
    </row>
    <row r="98" spans="1:6">
      <c r="A98" s="348" t="s">
        <v>72</v>
      </c>
      <c r="B98" s="334">
        <v>0</v>
      </c>
    </row>
    <row r="99" spans="1:6">
      <c r="A99" s="348" t="s">
        <v>73</v>
      </c>
      <c r="B99" s="334">
        <v>43</v>
      </c>
    </row>
    <row r="100" spans="1:6">
      <c r="A100" s="348" t="s">
        <v>74</v>
      </c>
      <c r="B100" s="334">
        <v>67</v>
      </c>
    </row>
    <row r="101" spans="1:6">
      <c r="A101" s="348" t="s">
        <v>75</v>
      </c>
      <c r="B101" s="334">
        <v>56</v>
      </c>
    </row>
    <row r="102" spans="1:6">
      <c r="A102" s="348" t="s">
        <v>76</v>
      </c>
      <c r="B102" s="334">
        <v>47</v>
      </c>
    </row>
    <row r="103" spans="1:6">
      <c r="A103" s="348" t="s">
        <v>77</v>
      </c>
      <c r="B103" s="334">
        <v>114</v>
      </c>
    </row>
    <row r="104" spans="1:6">
      <c r="A104" s="348" t="s">
        <v>78</v>
      </c>
      <c r="B104" s="334">
        <v>2465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0</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42020.574875145401</v>
      </c>
      <c r="C3" s="43" t="s">
        <v>170</v>
      </c>
      <c r="D3" s="43"/>
      <c r="E3" s="154"/>
      <c r="F3" s="43"/>
      <c r="G3" s="43"/>
      <c r="H3" s="43"/>
      <c r="I3" s="43"/>
      <c r="J3" s="43"/>
      <c r="K3" s="96"/>
    </row>
    <row r="4" spans="1:11">
      <c r="A4" s="383" t="s">
        <v>171</v>
      </c>
      <c r="B4" s="49">
        <f>IF(ISERROR('SEAP template'!B78+'SEAP template'!C78),0,'SEAP template'!B78+'SEAP template'!C78)</f>
        <v>15248.155833881669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0.14080494200042312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15075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574.27200000000005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574.27200000000005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0.14080494200042312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80.860335652467001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11935.579699999998</v>
      </c>
      <c r="C5" s="17">
        <f>IF(ISERROR('Eigen informatie GS &amp; warmtenet'!B57),0,'Eigen informatie GS &amp; warmtenet'!B57)</f>
        <v>0</v>
      </c>
      <c r="D5" s="30">
        <f>(SUM(HH_hh_gas_kWh,HH_rest_gas_kWh)/1000)*0.902</f>
        <v>14796.048147100002</v>
      </c>
      <c r="E5" s="17">
        <f>B46*B57</f>
        <v>3340.173050486223</v>
      </c>
      <c r="F5" s="17">
        <f>B51*B62</f>
        <v>45361.455853225329</v>
      </c>
      <c r="G5" s="18"/>
      <c r="H5" s="17"/>
      <c r="I5" s="17"/>
      <c r="J5" s="17">
        <f>B50*B61+C50*C61</f>
        <v>1227.0593784704733</v>
      </c>
      <c r="K5" s="17"/>
      <c r="L5" s="17"/>
      <c r="M5" s="17"/>
      <c r="N5" s="17">
        <f>B48*B59+C48*C59</f>
        <v>14824.539349862669</v>
      </c>
      <c r="O5" s="17">
        <f>B69*B70*B71</f>
        <v>136.01000000000002</v>
      </c>
      <c r="P5" s="17">
        <f>B77*B78*B79/1000-B77*B78*B79/1000/B80</f>
        <v>667.33333333333337</v>
      </c>
    </row>
    <row r="6" spans="1:16">
      <c r="A6" s="16" t="s">
        <v>621</v>
      </c>
      <c r="B6" s="788">
        <f>kWh_PV_kleiner_dan_10kW</f>
        <v>2620.3589526197443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14555.938652619743</v>
      </c>
      <c r="C8" s="21">
        <f>C5</f>
        <v>0</v>
      </c>
      <c r="D8" s="21">
        <f>D5</f>
        <v>14796.048147100002</v>
      </c>
      <c r="E8" s="21">
        <f>E5</f>
        <v>3340.173050486223</v>
      </c>
      <c r="F8" s="21">
        <f>F5</f>
        <v>45361.455853225329</v>
      </c>
      <c r="G8" s="21"/>
      <c r="H8" s="21"/>
      <c r="I8" s="21"/>
      <c r="J8" s="21">
        <f>J5</f>
        <v>1227.0593784704733</v>
      </c>
      <c r="K8" s="21"/>
      <c r="L8" s="21">
        <f>L5</f>
        <v>0</v>
      </c>
      <c r="M8" s="21">
        <f>M5</f>
        <v>0</v>
      </c>
      <c r="N8" s="21">
        <f>N5</f>
        <v>14824.539349862669</v>
      </c>
      <c r="O8" s="21">
        <f>O5</f>
        <v>136.01000000000002</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0.14080494200042312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2049.5480977438401</v>
      </c>
      <c r="C12" s="23">
        <f ca="1">C10*C8</f>
        <v>0</v>
      </c>
      <c r="D12" s="23">
        <f>D8*D10</f>
        <v>2988.8017257142005</v>
      </c>
      <c r="E12" s="23">
        <f>E10*E8</f>
        <v>758.2192824603726</v>
      </c>
      <c r="F12" s="23">
        <f>F10*F8</f>
        <v>12111.508712811163</v>
      </c>
      <c r="G12" s="23"/>
      <c r="H12" s="23"/>
      <c r="I12" s="23"/>
      <c r="J12" s="23">
        <f>J10*J8</f>
        <v>434.37901997854755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248</v>
      </c>
      <c r="C18" s="166" t="s">
        <v>111</v>
      </c>
      <c r="D18" s="228"/>
      <c r="E18" s="15"/>
    </row>
    <row r="19" spans="1:7">
      <c r="A19" s="171" t="s">
        <v>72</v>
      </c>
      <c r="B19" s="37">
        <f>aantalw2001_ander</f>
        <v>0</v>
      </c>
      <c r="C19" s="166" t="s">
        <v>111</v>
      </c>
      <c r="D19" s="229"/>
      <c r="E19" s="15"/>
    </row>
    <row r="20" spans="1:7">
      <c r="A20" s="171" t="s">
        <v>73</v>
      </c>
      <c r="B20" s="37">
        <f>aantalw2001_propaan</f>
        <v>43</v>
      </c>
      <c r="C20" s="167">
        <f>IF(ISERROR(B20/SUM($B$20,$B$21,$B$22)*100),0,B20/SUM($B$20,$B$21,$B$22)*100)</f>
        <v>25.903614457831324</v>
      </c>
      <c r="D20" s="229"/>
      <c r="E20" s="15"/>
    </row>
    <row r="21" spans="1:7">
      <c r="A21" s="171" t="s">
        <v>74</v>
      </c>
      <c r="B21" s="37">
        <f>aantalw2001_elektriciteit</f>
        <v>67</v>
      </c>
      <c r="C21" s="167">
        <f>IF(ISERROR(B21/SUM($B$20,$B$21,$B$22)*100),0,B21/SUM($B$20,$B$21,$B$22)*100)</f>
        <v>40.361445783132531</v>
      </c>
      <c r="D21" s="229"/>
      <c r="E21" s="15"/>
    </row>
    <row r="22" spans="1:7">
      <c r="A22" s="171" t="s">
        <v>75</v>
      </c>
      <c r="B22" s="37">
        <f>aantalw2001_hout</f>
        <v>56</v>
      </c>
      <c r="C22" s="167">
        <f>IF(ISERROR(B22/SUM($B$20,$B$21,$B$22)*100),0,B22/SUM($B$20,$B$21,$B$22)*100)</f>
        <v>33.734939759036145</v>
      </c>
      <c r="D22" s="229"/>
      <c r="E22" s="15"/>
    </row>
    <row r="23" spans="1:7">
      <c r="A23" s="171" t="s">
        <v>76</v>
      </c>
      <c r="B23" s="37">
        <f>aantalw2001_niet_gespec</f>
        <v>47</v>
      </c>
      <c r="C23" s="166" t="s">
        <v>111</v>
      </c>
      <c r="D23" s="228"/>
      <c r="E23" s="15"/>
    </row>
    <row r="24" spans="1:7">
      <c r="A24" s="171" t="s">
        <v>77</v>
      </c>
      <c r="B24" s="37">
        <f>aantalw2001_steenkool</f>
        <v>114</v>
      </c>
      <c r="C24" s="166" t="s">
        <v>111</v>
      </c>
      <c r="D24" s="229"/>
      <c r="E24" s="15"/>
    </row>
    <row r="25" spans="1:7">
      <c r="A25" s="171" t="s">
        <v>78</v>
      </c>
      <c r="B25" s="37">
        <f>aantalw2001_stookolie</f>
        <v>2465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3471</v>
      </c>
      <c r="C28" s="36"/>
      <c r="D28" s="228"/>
    </row>
    <row r="29" spans="1:7" s="15" customFormat="1">
      <c r="A29" s="230" t="s">
        <v>794</v>
      </c>
      <c r="B29" s="37">
        <f>SUM(HH_hh_gas_aantal,HH_rest_gas_aantal)</f>
        <v>1040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1040</v>
      </c>
      <c r="C32" s="167">
        <f>IF(ISERROR(B32/SUM($B$32,$B$34,$B$35,$B$36,$B$38,$B$39)*100),0,B32/SUM($B$32,$B$34,$B$35,$B$36,$B$38,$B$39)*100)</f>
        <v>30.267753201396975</v>
      </c>
      <c r="D32" s="233"/>
      <c r="G32" s="15"/>
    </row>
    <row r="33" spans="1:7">
      <c r="A33" s="171" t="s">
        <v>72</v>
      </c>
      <c r="B33" s="34" t="s">
        <v>111</v>
      </c>
      <c r="C33" s="167"/>
      <c r="D33" s="233"/>
      <c r="G33" s="15"/>
    </row>
    <row r="34" spans="1:7">
      <c r="A34" s="171" t="s">
        <v>73</v>
      </c>
      <c r="B34" s="33">
        <f>IF((($B$28-$B$32-$B$39-$B$77-$B$38)*C20/100)&lt;0,0,($B$28-$B$32-$B$39-$B$77-$B$38)*C20/100)</f>
        <v>157.75301204819283</v>
      </c>
      <c r="C34" s="167">
        <f>IF(ISERROR(B34/SUM($B$32,$B$34,$B$35,$B$36,$B$38,$B$39)*100),0,B34/SUM($B$32,$B$34,$B$35,$B$36,$B$38,$B$39)*100)</f>
        <v>4.5911819571650998</v>
      </c>
      <c r="D34" s="233"/>
      <c r="G34" s="15"/>
    </row>
    <row r="35" spans="1:7">
      <c r="A35" s="171" t="s">
        <v>74</v>
      </c>
      <c r="B35" s="33">
        <f>IF((($B$28-$B$32-$B$39-$B$77-$B$38)*C21/100)&lt;0,0,($B$28-$B$32-$B$39-$B$77-$B$38)*C21/100)</f>
        <v>245.80120481927719</v>
      </c>
      <c r="C35" s="167">
        <f>IF(ISERROR(B35/SUM($B$32,$B$34,$B$35,$B$36,$B$38,$B$39)*100),0,B35/SUM($B$32,$B$34,$B$35,$B$36,$B$38,$B$39)*100)</f>
        <v>7.1537021193037589</v>
      </c>
      <c r="D35" s="233"/>
      <c r="G35" s="15"/>
    </row>
    <row r="36" spans="1:7">
      <c r="A36" s="171" t="s">
        <v>75</v>
      </c>
      <c r="B36" s="33">
        <f>IF((($B$28-$B$32-$B$39-$B$77-$B$38)*C22/100)&lt;0,0,($B$28-$B$32-$B$39-$B$77-$B$38)*C22/100)</f>
        <v>205.44578313253021</v>
      </c>
      <c r="C36" s="167">
        <f>IF(ISERROR(B36/SUM($B$32,$B$34,$B$35,$B$36,$B$38,$B$39)*100),0,B36/SUM($B$32,$B$34,$B$35,$B$36,$B$38,$B$39)*100)</f>
        <v>5.9792137116568744</v>
      </c>
      <c r="D36" s="233"/>
      <c r="G36" s="15"/>
    </row>
    <row r="37" spans="1:7">
      <c r="A37" s="171" t="s">
        <v>76</v>
      </c>
      <c r="B37" s="34" t="s">
        <v>111</v>
      </c>
      <c r="C37" s="167"/>
      <c r="D37" s="173"/>
      <c r="G37" s="15"/>
    </row>
    <row r="38" spans="1:7">
      <c r="A38" s="171" t="s">
        <v>77</v>
      </c>
      <c r="B38" s="33">
        <f>IF((B24-(B29-B18)*0.1)&lt;0,0,B24-(B29-B18)*0.1)</f>
        <v>34.799999999999997</v>
      </c>
      <c r="C38" s="167">
        <f>IF(ISERROR(B38/SUM($B$32,$B$34,$B$35,$B$36,$B$38,$B$39)*100),0,B38/SUM($B$32,$B$34,$B$35,$B$36,$B$38,$B$39)*100)</f>
        <v>1.0128055878928985</v>
      </c>
      <c r="D38" s="234"/>
      <c r="G38" s="15"/>
    </row>
    <row r="39" spans="1:7">
      <c r="A39" s="171" t="s">
        <v>78</v>
      </c>
      <c r="B39" s="33">
        <f>IF((B25-(B29-B18))&lt;0,0,B25-(B29-B18)*0.9)</f>
        <v>1752.1999999999998</v>
      </c>
      <c r="C39" s="167">
        <f>IF(ISERROR(B39/SUM($B$32,$B$34,$B$35,$B$36,$B$38,$B$39)*100),0,B39/SUM($B$32,$B$34,$B$35,$B$36,$B$38,$B$39)*100)</f>
        <v>50.995343422584391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1040</v>
      </c>
      <c r="C44" s="34" t="s">
        <v>111</v>
      </c>
      <c r="D44" s="174"/>
    </row>
    <row r="45" spans="1:7">
      <c r="A45" s="171" t="s">
        <v>72</v>
      </c>
      <c r="B45" s="33" t="str">
        <f t="shared" si="0"/>
        <v>-</v>
      </c>
      <c r="C45" s="34" t="s">
        <v>111</v>
      </c>
      <c r="D45" s="174"/>
    </row>
    <row r="46" spans="1:7">
      <c r="A46" s="171" t="s">
        <v>73</v>
      </c>
      <c r="B46" s="33">
        <f t="shared" si="0"/>
        <v>157.75301204819283</v>
      </c>
      <c r="C46" s="34" t="s">
        <v>111</v>
      </c>
      <c r="D46" s="174"/>
    </row>
    <row r="47" spans="1:7">
      <c r="A47" s="171" t="s">
        <v>74</v>
      </c>
      <c r="B47" s="33">
        <f t="shared" si="0"/>
        <v>245.80120481927719</v>
      </c>
      <c r="C47" s="34" t="s">
        <v>111</v>
      </c>
      <c r="D47" s="174"/>
    </row>
    <row r="48" spans="1:7">
      <c r="A48" s="171" t="s">
        <v>75</v>
      </c>
      <c r="B48" s="33">
        <f t="shared" si="0"/>
        <v>205.44578313253021</v>
      </c>
      <c r="C48" s="33">
        <f>B48*10</f>
        <v>2054.4578313253023</v>
      </c>
      <c r="D48" s="234"/>
    </row>
    <row r="49" spans="1:6">
      <c r="A49" s="171" t="s">
        <v>76</v>
      </c>
      <c r="B49" s="33" t="str">
        <f t="shared" si="0"/>
        <v>-</v>
      </c>
      <c r="C49" s="34" t="s">
        <v>111</v>
      </c>
      <c r="D49" s="234"/>
    </row>
    <row r="50" spans="1:6">
      <c r="A50" s="171" t="s">
        <v>77</v>
      </c>
      <c r="B50" s="33">
        <f t="shared" si="0"/>
        <v>34.799999999999997</v>
      </c>
      <c r="C50" s="33">
        <f>B50*2</f>
        <v>69.599999999999994</v>
      </c>
      <c r="D50" s="234"/>
    </row>
    <row r="51" spans="1:6">
      <c r="A51" s="171" t="s">
        <v>78</v>
      </c>
      <c r="B51" s="33">
        <f t="shared" si="0"/>
        <v>1752.1999999999998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12857.531949999999</v>
      </c>
      <c r="C5" s="17">
        <f>IF(ISERROR('Eigen informatie GS &amp; warmtenet'!B58),0,'Eigen informatie GS &amp; warmtenet'!B58)</f>
        <v>0</v>
      </c>
      <c r="D5" s="30">
        <f>SUM(D6:D12)</f>
        <v>5015.3107730000002</v>
      </c>
      <c r="E5" s="17">
        <f>SUM(E6:E12)</f>
        <v>288.71428517869845</v>
      </c>
      <c r="F5" s="17">
        <f>SUM(F6:F12)</f>
        <v>2495.9557216155258</v>
      </c>
      <c r="G5" s="18"/>
      <c r="H5" s="17"/>
      <c r="I5" s="17"/>
      <c r="J5" s="17">
        <f>SUM(J6:J12)</f>
        <v>4.9975183764747466E-2</v>
      </c>
      <c r="K5" s="17"/>
      <c r="L5" s="17"/>
      <c r="M5" s="17"/>
      <c r="N5" s="17">
        <f>SUM(N6:N12)</f>
        <v>1976.1088486016881</v>
      </c>
      <c r="O5" s="17">
        <f>B38*B39*B40</f>
        <v>0</v>
      </c>
      <c r="P5" s="17">
        <f>B46*B47*B48/1000-B46*B47*B48/1000/B49</f>
        <v>19.066666666666666</v>
      </c>
      <c r="R5" s="32"/>
    </row>
    <row r="6" spans="1:18">
      <c r="A6" s="32" t="s">
        <v>54</v>
      </c>
      <c r="B6" s="37">
        <f>B26</f>
        <v>1546.79935</v>
      </c>
      <c r="C6" s="33"/>
      <c r="D6" s="37">
        <f>IF(ISERROR(TER_kantoor_gas_kWh/1000),0,TER_kantoor_gas_kWh/1000)*0.902</f>
        <v>1736.4211677999999</v>
      </c>
      <c r="E6" s="33">
        <f>$C$26*'E Balans VL '!I12/100/3.6*1000000</f>
        <v>9.6948238683958916E-3</v>
      </c>
      <c r="F6" s="33">
        <f>$C$26*('E Balans VL '!L12+'E Balans VL '!N12)/100/3.6*1000000</f>
        <v>232.44072060894521</v>
      </c>
      <c r="G6" s="34"/>
      <c r="H6" s="33"/>
      <c r="I6" s="33"/>
      <c r="J6" s="33">
        <f>$C$26*('E Balans VL '!D12+'E Balans VL '!E12)/100/3.6*1000000</f>
        <v>0</v>
      </c>
      <c r="K6" s="33"/>
      <c r="L6" s="33"/>
      <c r="M6" s="33"/>
      <c r="N6" s="33">
        <f>$C$26*'E Balans VL '!Y12/100/3.6*1000000</f>
        <v>1.4792842401028361</v>
      </c>
      <c r="O6" s="33"/>
      <c r="P6" s="33"/>
      <c r="R6" s="32"/>
    </row>
    <row r="7" spans="1:18">
      <c r="A7" s="32" t="s">
        <v>53</v>
      </c>
      <c r="B7" s="37">
        <f t="shared" ref="B7:B12" si="0">B27</f>
        <v>686.88499999999999</v>
      </c>
      <c r="C7" s="33"/>
      <c r="D7" s="37">
        <f>IF(ISERROR(TER_horeca_gas_kWh/1000),0,TER_horeca_gas_kWh/1000)*0.902</f>
        <v>640.64279399999998</v>
      </c>
      <c r="E7" s="33">
        <f>$C$27*'E Balans VL '!I9/100/3.6*1000000</f>
        <v>9.8360787868002628</v>
      </c>
      <c r="F7" s="33">
        <f>$C$27*('E Balans VL '!L9+'E Balans VL '!N9)/100/3.6*1000000</f>
        <v>86.982295340078025</v>
      </c>
      <c r="G7" s="34"/>
      <c r="H7" s="33"/>
      <c r="I7" s="33"/>
      <c r="J7" s="33">
        <f>$C$27*('E Balans VL '!D9+'E Balans VL '!E9)/100/3.6*1000000</f>
        <v>0</v>
      </c>
      <c r="K7" s="33"/>
      <c r="L7" s="33"/>
      <c r="M7" s="33"/>
      <c r="N7" s="33">
        <f>$C$27*'E Balans VL '!Y9/100/3.6*1000000</f>
        <v>0.19746429298575005</v>
      </c>
      <c r="O7" s="33"/>
      <c r="P7" s="33"/>
      <c r="R7" s="32"/>
    </row>
    <row r="8" spans="1:18">
      <c r="A8" s="6" t="s">
        <v>52</v>
      </c>
      <c r="B8" s="37">
        <f t="shared" si="0"/>
        <v>7478.7428</v>
      </c>
      <c r="C8" s="33"/>
      <c r="D8" s="37">
        <f>IF(ISERROR(TER_handel_gas_kWh/1000),0,TER_handel_gas_kWh/1000)*0.902</f>
        <v>839.60054200000002</v>
      </c>
      <c r="E8" s="33">
        <f>$C$28*'E Balans VL '!I13/100/3.6*1000000</f>
        <v>271.25307911875552</v>
      </c>
      <c r="F8" s="33">
        <f>$C$28*('E Balans VL '!L13+'E Balans VL '!N13)/100/3.6*1000000</f>
        <v>1440.4815903654278</v>
      </c>
      <c r="G8" s="34"/>
      <c r="H8" s="33"/>
      <c r="I8" s="33"/>
      <c r="J8" s="33">
        <f>$C$28*('E Balans VL '!D13+'E Balans VL '!E13)/100/3.6*1000000</f>
        <v>0</v>
      </c>
      <c r="K8" s="33"/>
      <c r="L8" s="33"/>
      <c r="M8" s="33"/>
      <c r="N8" s="33">
        <f>$C$28*'E Balans VL '!Y13/100/3.6*1000000</f>
        <v>10.359779559973703</v>
      </c>
      <c r="O8" s="33"/>
      <c r="P8" s="33"/>
      <c r="R8" s="32"/>
    </row>
    <row r="9" spans="1:18">
      <c r="A9" s="32" t="s">
        <v>51</v>
      </c>
      <c r="B9" s="37">
        <f t="shared" si="0"/>
        <v>521.39379999999994</v>
      </c>
      <c r="C9" s="33"/>
      <c r="D9" s="37">
        <f>IF(ISERROR(TER_gezond_gas_kWh/1000),0,TER_gezond_gas_kWh/1000)*0.902</f>
        <v>969.91572920000021</v>
      </c>
      <c r="E9" s="33">
        <f>$C$29*'E Balans VL '!I10/100/3.6*1000000</f>
        <v>3.2644399713765052E-2</v>
      </c>
      <c r="F9" s="33">
        <f>$C$29*('E Balans VL '!L10+'E Balans VL '!N10)/100/3.6*1000000</f>
        <v>77.454636482936166</v>
      </c>
      <c r="G9" s="34"/>
      <c r="H9" s="33"/>
      <c r="I9" s="33"/>
      <c r="J9" s="33">
        <f>$C$29*('E Balans VL '!D10+'E Balans VL '!E10)/100/3.6*1000000</f>
        <v>0</v>
      </c>
      <c r="K9" s="33"/>
      <c r="L9" s="33"/>
      <c r="M9" s="33"/>
      <c r="N9" s="33">
        <f>$C$29*'E Balans VL '!Y10/100/3.6*1000000</f>
        <v>8.0649696086011762</v>
      </c>
      <c r="O9" s="33"/>
      <c r="P9" s="33"/>
      <c r="R9" s="32"/>
    </row>
    <row r="10" spans="1:18">
      <c r="A10" s="32" t="s">
        <v>50</v>
      </c>
      <c r="B10" s="37">
        <f t="shared" si="0"/>
        <v>2301.34</v>
      </c>
      <c r="C10" s="33"/>
      <c r="D10" s="37">
        <f>IF(ISERROR(TER_ander_gas_kWh/1000),0,TER_ander_gas_kWh/1000)*0.902</f>
        <v>121.29013599999999</v>
      </c>
      <c r="E10" s="33">
        <f>$C$30*'E Balans VL '!I14/100/3.6*1000000</f>
        <v>2.7431150440038419</v>
      </c>
      <c r="F10" s="33">
        <f>$C$30*('E Balans VL '!L14+'E Balans VL '!N14)/100/3.6*1000000</f>
        <v>602.13285354068705</v>
      </c>
      <c r="G10" s="34"/>
      <c r="H10" s="33"/>
      <c r="I10" s="33"/>
      <c r="J10" s="33">
        <f>$C$30*('E Balans VL '!D14+'E Balans VL '!E14)/100/3.6*1000000</f>
        <v>4.9953070396287581E-2</v>
      </c>
      <c r="K10" s="33"/>
      <c r="L10" s="33"/>
      <c r="M10" s="33"/>
      <c r="N10" s="33">
        <f>$C$30*'E Balans VL '!Y14/100/3.6*1000000</f>
        <v>1954.2416150028619</v>
      </c>
      <c r="O10" s="33"/>
      <c r="P10" s="33"/>
      <c r="R10" s="32"/>
    </row>
    <row r="11" spans="1:18">
      <c r="A11" s="32" t="s">
        <v>55</v>
      </c>
      <c r="B11" s="37">
        <f t="shared" si="0"/>
        <v>313.23899999999998</v>
      </c>
      <c r="C11" s="33"/>
      <c r="D11" s="37">
        <f>IF(ISERROR(TER_onderwijs_gas_kWh/1000),0,TER_onderwijs_gas_kWh/1000)*0.902</f>
        <v>707.44040400000006</v>
      </c>
      <c r="E11" s="33">
        <f>$C$31*'E Balans VL '!I11/100/3.6*1000000</f>
        <v>4.7262719906159063</v>
      </c>
      <c r="F11" s="33">
        <f>$C$31*('E Balans VL '!L11+'E Balans VL '!N11)/100/3.6*1000000</f>
        <v>54.884476941896558</v>
      </c>
      <c r="G11" s="34"/>
      <c r="H11" s="33"/>
      <c r="I11" s="33"/>
      <c r="J11" s="33">
        <f>$C$31*('E Balans VL '!D11+'E Balans VL '!E11)/100/3.6*1000000</f>
        <v>0</v>
      </c>
      <c r="K11" s="33"/>
      <c r="L11" s="33"/>
      <c r="M11" s="33"/>
      <c r="N11" s="33">
        <f>$C$31*'E Balans VL '!Y11/100/3.6*1000000</f>
        <v>0.88147835933563656</v>
      </c>
      <c r="O11" s="33"/>
      <c r="P11" s="33"/>
      <c r="R11" s="32"/>
    </row>
    <row r="12" spans="1:18">
      <c r="A12" s="32" t="s">
        <v>260</v>
      </c>
      <c r="B12" s="37">
        <f t="shared" si="0"/>
        <v>9.1319999999999997</v>
      </c>
      <c r="C12" s="33"/>
      <c r="D12" s="37">
        <f>IF(ISERROR(TER_rest_gas_kWh/1000),0,TER_rest_gas_kWh/1000)*0.902</f>
        <v>0</v>
      </c>
      <c r="E12" s="33">
        <f>$C$32*'E Balans VL '!I8/100/3.6*1000000</f>
        <v>0.11340101494081492</v>
      </c>
      <c r="F12" s="33">
        <f>$C$32*('E Balans VL '!L8+'E Balans VL '!N8)/100/3.6*1000000</f>
        <v>1.5791483355551086</v>
      </c>
      <c r="G12" s="34"/>
      <c r="H12" s="33"/>
      <c r="I12" s="33"/>
      <c r="J12" s="33">
        <f>$C$32*('E Balans VL '!D8+'E Balans VL '!E8)/100/3.6*1000000</f>
        <v>2.2113368459883589E-5</v>
      </c>
      <c r="K12" s="33"/>
      <c r="L12" s="33"/>
      <c r="M12" s="33"/>
      <c r="N12" s="33">
        <f>$C$32*'E Balans VL '!Y8/100/3.6*1000000</f>
        <v>0.88425753782722349</v>
      </c>
      <c r="O12" s="33"/>
      <c r="P12" s="33"/>
      <c r="R12" s="32"/>
    </row>
    <row r="13" spans="1:18">
      <c r="A13" s="16" t="s">
        <v>488</v>
      </c>
      <c r="B13" s="247">
        <f ca="1">'lokale energieproductie'!N91+'lokale energieproductie'!N60</f>
        <v>10552.5</v>
      </c>
      <c r="C13" s="247">
        <f ca="1">'lokale energieproductie'!O91+'lokale energieproductie'!O60</f>
        <v>15075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-30150.000000000004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23410.031949999997</v>
      </c>
      <c r="C16" s="21">
        <f t="shared" ca="1" si="1"/>
        <v>15075</v>
      </c>
      <c r="D16" s="21">
        <f t="shared" ca="1" si="1"/>
        <v>5015.3107730000002</v>
      </c>
      <c r="E16" s="21">
        <f t="shared" si="1"/>
        <v>288.71428517869845</v>
      </c>
      <c r="F16" s="21">
        <f t="shared" ca="1" si="1"/>
        <v>2495.9557216155258</v>
      </c>
      <c r="G16" s="21">
        <f t="shared" si="1"/>
        <v>0</v>
      </c>
      <c r="H16" s="21">
        <f t="shared" si="1"/>
        <v>0</v>
      </c>
      <c r="I16" s="21">
        <f t="shared" si="1"/>
        <v>0</v>
      </c>
      <c r="J16" s="21">
        <f t="shared" si="1"/>
        <v>4.9975183764747466E-2</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0.14080494200042312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3296.248190947802</v>
      </c>
      <c r="C20" s="23">
        <f t="shared" ref="C20:P20" ca="1" si="2">C16*C18</f>
        <v>0</v>
      </c>
      <c r="D20" s="23">
        <f t="shared" ca="1" si="2"/>
        <v>1013.0927761460001</v>
      </c>
      <c r="E20" s="23">
        <f t="shared" si="2"/>
        <v>65.538142735564549</v>
      </c>
      <c r="F20" s="23">
        <f t="shared" ca="1" si="2"/>
        <v>666.42017767134541</v>
      </c>
      <c r="G20" s="23">
        <f t="shared" si="2"/>
        <v>0</v>
      </c>
      <c r="H20" s="23">
        <f t="shared" si="2"/>
        <v>0</v>
      </c>
      <c r="I20" s="23">
        <f t="shared" si="2"/>
        <v>0</v>
      </c>
      <c r="J20" s="23">
        <f t="shared" si="2"/>
        <v>1.7691215052720602E-2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1546.79935</v>
      </c>
      <c r="C26" s="39">
        <f>IF(ISERROR(B26*3.6/1000000/'E Balans VL '!Z12*100),0,B26*3.6/1000000/'E Balans VL '!Z12*100)</f>
        <v>3.2696887930904181E-2</v>
      </c>
      <c r="D26" s="237" t="s">
        <v>754</v>
      </c>
      <c r="F26" s="6"/>
    </row>
    <row r="27" spans="1:18">
      <c r="A27" s="231" t="s">
        <v>53</v>
      </c>
      <c r="B27" s="33">
        <f>IF(ISERROR(TER_horeca_ele_kWh/1000),0,TER_horeca_ele_kWh/1000)</f>
        <v>686.88499999999999</v>
      </c>
      <c r="C27" s="39">
        <f>IF(ISERROR(B27*3.6/1000000/'E Balans VL '!Z9*100),0,B27*3.6/1000000/'E Balans VL '!Z9*100)</f>
        <v>5.4146888534890456E-2</v>
      </c>
      <c r="D27" s="237" t="s">
        <v>754</v>
      </c>
      <c r="F27" s="6"/>
    </row>
    <row r="28" spans="1:18">
      <c r="A28" s="171" t="s">
        <v>52</v>
      </c>
      <c r="B28" s="33">
        <f>IF(ISERROR(TER_handel_ele_kWh/1000),0,TER_handel_ele_kWh/1000)</f>
        <v>7478.7428</v>
      </c>
      <c r="C28" s="39">
        <f>IF(ISERROR(B28*3.6/1000000/'E Balans VL '!Z13*100),0,B28*3.6/1000000/'E Balans VL '!Z13*100)</f>
        <v>0.21706333356296811</v>
      </c>
      <c r="D28" s="237" t="s">
        <v>754</v>
      </c>
      <c r="F28" s="6"/>
    </row>
    <row r="29" spans="1:18">
      <c r="A29" s="231" t="s">
        <v>51</v>
      </c>
      <c r="B29" s="33">
        <f>IF(ISERROR(TER_gezond_ele_kWh/1000),0,TER_gezond_ele_kWh/1000)</f>
        <v>521.39379999999994</v>
      </c>
      <c r="C29" s="39">
        <f>IF(ISERROR(B29*3.6/1000000/'E Balans VL '!Z10*100),0,B29*3.6/1000000/'E Balans VL '!Z10*100)</f>
        <v>5.4911328652186828E-2</v>
      </c>
      <c r="D29" s="237" t="s">
        <v>754</v>
      </c>
      <c r="F29" s="6"/>
    </row>
    <row r="30" spans="1:18">
      <c r="A30" s="231" t="s">
        <v>50</v>
      </c>
      <c r="B30" s="33">
        <f>IF(ISERROR(TER_ander_ele_kWh/1000),0,TER_ander_ele_kWh/1000)</f>
        <v>2301.34</v>
      </c>
      <c r="C30" s="39">
        <f>IF(ISERROR(B30*3.6/1000000/'E Balans VL '!Z14*100),0,B30*3.6/1000000/'E Balans VL '!Z14*100)</f>
        <v>0.16974733824856156</v>
      </c>
      <c r="D30" s="237" t="s">
        <v>754</v>
      </c>
      <c r="F30" s="6"/>
    </row>
    <row r="31" spans="1:18">
      <c r="A31" s="231" t="s">
        <v>55</v>
      </c>
      <c r="B31" s="33">
        <f>IF(ISERROR(TER_onderwijs_ele_kWh/1000),0,TER_onderwijs_ele_kWh/1000)</f>
        <v>313.23899999999998</v>
      </c>
      <c r="C31" s="39">
        <f>IF(ISERROR(B31*3.6/1000000/'E Balans VL '!Z11*100),0,B31*3.6/1000000/'E Balans VL '!Z11*100)</f>
        <v>7.7791916678881953E-2</v>
      </c>
      <c r="D31" s="237" t="s">
        <v>754</v>
      </c>
    </row>
    <row r="32" spans="1:18">
      <c r="A32" s="231" t="s">
        <v>260</v>
      </c>
      <c r="B32" s="33">
        <f>IF(ISERROR(TER_rest_ele_kWh/1000),0,TER_rest_ele_kWh/1000)</f>
        <v>9.1319999999999997</v>
      </c>
      <c r="C32" s="39">
        <f>IF(ISERROR(B32*3.6/1000000/'E Balans VL '!Z8*100),0,B32*3.6/1000000/'E Balans VL '!Z8*100)</f>
        <v>7.5144238502182235E-5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768.91430000000003</v>
      </c>
      <c r="C5" s="17">
        <f>IF(ISERROR('Eigen informatie GS &amp; warmtenet'!B59),0,'Eigen informatie GS &amp; warmtenet'!B59)</f>
        <v>0</v>
      </c>
      <c r="D5" s="30">
        <f>SUM(D6:D15)</f>
        <v>581.87695280000003</v>
      </c>
      <c r="E5" s="17">
        <f>SUM(E6:E15)</f>
        <v>154.5542406488216</v>
      </c>
      <c r="F5" s="17">
        <f>SUM(F6:F15)</f>
        <v>438.80772048669587</v>
      </c>
      <c r="G5" s="18"/>
      <c r="H5" s="17"/>
      <c r="I5" s="17"/>
      <c r="J5" s="17">
        <f>SUM(J6:J15)</f>
        <v>3.6507069827068098E-2</v>
      </c>
      <c r="K5" s="17"/>
      <c r="L5" s="17"/>
      <c r="M5" s="17"/>
      <c r="N5" s="17">
        <f>SUM(N6:N15)</f>
        <v>248.95390312677875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64.302999999999997</v>
      </c>
      <c r="C8" s="33"/>
      <c r="D8" s="37">
        <f>IF( ISERROR(IND_metaal_Gas_kWH/1000),0,IND_metaal_Gas_kWH/1000)*0.902</f>
        <v>0</v>
      </c>
      <c r="E8" s="33">
        <f>C30*'E Balans VL '!I18/100/3.6*1000000</f>
        <v>0.59120398057198509</v>
      </c>
      <c r="F8" s="33">
        <f>C30*'E Balans VL '!L18/100/3.6*1000000+C30*'E Balans VL '!N18/100/3.6*1000000</f>
        <v>6.029480536421973</v>
      </c>
      <c r="G8" s="34"/>
      <c r="H8" s="33"/>
      <c r="I8" s="33"/>
      <c r="J8" s="40">
        <f>C30*'E Balans VL '!D18/100/3.6*1000000+C30*'E Balans VL '!E18/100/3.6*1000000</f>
        <v>0</v>
      </c>
      <c r="K8" s="33"/>
      <c r="L8" s="33"/>
      <c r="M8" s="33"/>
      <c r="N8" s="33">
        <f>C30*'E Balans VL '!Y18/100/3.6*1000000</f>
        <v>0.91738856018243831</v>
      </c>
      <c r="O8" s="33"/>
      <c r="P8" s="33"/>
      <c r="R8" s="32"/>
    </row>
    <row r="9" spans="1:18">
      <c r="A9" s="6" t="s">
        <v>33</v>
      </c>
      <c r="B9" s="37">
        <f t="shared" si="0"/>
        <v>523.75329999999997</v>
      </c>
      <c r="C9" s="33"/>
      <c r="D9" s="37">
        <f>IF( ISERROR(IND_andere_gas_kWh/1000),0,IND_andere_gas_kWh/1000)*0.902</f>
        <v>503.69429880000001</v>
      </c>
      <c r="E9" s="33">
        <f>C31*'E Balans VL '!I19/100/3.6*1000000</f>
        <v>153.10328586410739</v>
      </c>
      <c r="F9" s="33">
        <f>C31*'E Balans VL '!L19/100/3.6*1000000+C31*'E Balans VL '!N19/100/3.6*1000000</f>
        <v>420.87542103204026</v>
      </c>
      <c r="G9" s="34"/>
      <c r="H9" s="33"/>
      <c r="I9" s="33"/>
      <c r="J9" s="40">
        <f>C31*'E Balans VL '!D19/100/3.6*1000000+C31*'E Balans VL '!E19/100/3.6*1000000</f>
        <v>0</v>
      </c>
      <c r="K9" s="33"/>
      <c r="L9" s="33"/>
      <c r="M9" s="33"/>
      <c r="N9" s="33">
        <f>C31*'E Balans VL '!Y19/100/3.6*1000000</f>
        <v>173.05621315777333</v>
      </c>
      <c r="O9" s="33"/>
      <c r="P9" s="33"/>
      <c r="R9" s="32"/>
    </row>
    <row r="10" spans="1:18">
      <c r="A10" s="6" t="s">
        <v>41</v>
      </c>
      <c r="B10" s="37">
        <f t="shared" si="0"/>
        <v>150.07300000000001</v>
      </c>
      <c r="C10" s="33"/>
      <c r="D10" s="37">
        <f>IF( ISERROR(IND_voed_gas_kWh/1000),0,IND_voed_gas_kWh/1000)*0.902</f>
        <v>0</v>
      </c>
      <c r="E10" s="33">
        <f>C32*'E Balans VL '!I20/100/3.6*1000000</f>
        <v>0.31748175840942461</v>
      </c>
      <c r="F10" s="33">
        <f>C32*'E Balans VL '!L20/100/3.6*1000000+C32*'E Balans VL '!N20/100/3.6*1000000</f>
        <v>9.5417946350741918</v>
      </c>
      <c r="G10" s="34"/>
      <c r="H10" s="33"/>
      <c r="I10" s="33"/>
      <c r="J10" s="40">
        <f>C32*'E Balans VL '!D20/100/3.6*1000000+C32*'E Balans VL '!E20/100/3.6*1000000</f>
        <v>0</v>
      </c>
      <c r="K10" s="33"/>
      <c r="L10" s="33"/>
      <c r="M10" s="33"/>
      <c r="N10" s="33">
        <f>C32*'E Balans VL '!Y20/100/3.6*1000000</f>
        <v>10.356517956550556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21.516999999999999</v>
      </c>
      <c r="C13" s="33"/>
      <c r="D13" s="37">
        <f>IF( ISERROR(IND_papier_gas_kWh/1000),0,IND_papier_gas_kWh/1000)*0.902</f>
        <v>35.875246000000004</v>
      </c>
      <c r="E13" s="33">
        <f>C35*'E Balans VL '!I23/100/3.6*1000000</f>
        <v>3.0527702100300848E-2</v>
      </c>
      <c r="F13" s="33">
        <f>C35*'E Balans VL '!L23/100/3.6*1000000+C35*'E Balans VL '!N23/100/3.6*1000000</f>
        <v>0.52531087913656871</v>
      </c>
      <c r="G13" s="34"/>
      <c r="H13" s="33"/>
      <c r="I13" s="33"/>
      <c r="J13" s="40">
        <f>C35*'E Balans VL '!D23/100/3.6*1000000+C35*'E Balans VL '!E23/100/3.6*1000000</f>
        <v>3.3278060639062128E-3</v>
      </c>
      <c r="K13" s="33"/>
      <c r="L13" s="33"/>
      <c r="M13" s="33"/>
      <c r="N13" s="33">
        <f>C35*'E Balans VL '!Y23/100/3.6*1000000</f>
        <v>62.544825576250254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9.2680000000000007</v>
      </c>
      <c r="C15" s="33"/>
      <c r="D15" s="37">
        <f>IF( ISERROR(IND_rest_gas_kWh/1000),0,IND_rest_gas_kWh/1000)*0.902</f>
        <v>42.307408000000002</v>
      </c>
      <c r="E15" s="33">
        <f>C37*'E Balans VL '!I15/100/3.6*1000000</f>
        <v>0.51174134363251544</v>
      </c>
      <c r="F15" s="33">
        <f>C37*'E Balans VL '!L15/100/3.6*1000000+C37*'E Balans VL '!N15/100/3.6*1000000</f>
        <v>1.835713404022858</v>
      </c>
      <c r="G15" s="34"/>
      <c r="H15" s="33"/>
      <c r="I15" s="33"/>
      <c r="J15" s="40">
        <f>C37*'E Balans VL '!D15/100/3.6*1000000+C37*'E Balans VL '!E15/100/3.6*1000000</f>
        <v>3.3179263763161881E-2</v>
      </c>
      <c r="K15" s="33"/>
      <c r="L15" s="33"/>
      <c r="M15" s="33"/>
      <c r="N15" s="33">
        <f>C37*'E Balans VL '!Y15/100/3.6*1000000</f>
        <v>2.0789578760221801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768.91430000000003</v>
      </c>
      <c r="C18" s="21">
        <f>C5+C16</f>
        <v>0</v>
      </c>
      <c r="D18" s="21">
        <f>MAX((D5+D16),0)</f>
        <v>581.87695280000003</v>
      </c>
      <c r="E18" s="21">
        <f>MAX((E5+E16),0)</f>
        <v>154.5542406488216</v>
      </c>
      <c r="F18" s="21">
        <f>MAX((F5+F16),0)</f>
        <v>438.80772048669587</v>
      </c>
      <c r="G18" s="21"/>
      <c r="H18" s="21"/>
      <c r="I18" s="21"/>
      <c r="J18" s="21">
        <f>MAX((J5+J16),0)</f>
        <v>3.6507069827068098E-2</v>
      </c>
      <c r="K18" s="21"/>
      <c r="L18" s="21">
        <f>MAX((L5+L16),0)</f>
        <v>0</v>
      </c>
      <c r="M18" s="21"/>
      <c r="N18" s="21">
        <f>MAX((N5+N16),0)</f>
        <v>248.95390312677875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0.14080494200042312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108.26693341479594</v>
      </c>
      <c r="C22" s="23">
        <f ca="1">C18*C20</f>
        <v>0</v>
      </c>
      <c r="D22" s="23">
        <f>D18*D20</f>
        <v>117.53914446560002</v>
      </c>
      <c r="E22" s="23">
        <f>E18*E20</f>
        <v>35.083812627282505</v>
      </c>
      <c r="F22" s="23">
        <f>F18*F20</f>
        <v>117.16166136994781</v>
      </c>
      <c r="G22" s="23"/>
      <c r="H22" s="23"/>
      <c r="I22" s="23"/>
      <c r="J22" s="23">
        <f>J18*J20</f>
        <v>1.2923502718782107E-2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64.302999999999997</v>
      </c>
      <c r="C30" s="39">
        <f>IF(ISERROR(B30*3.6/1000000/'E Balans VL '!Z18*100),0,B30*3.6/1000000/'E Balans VL '!Z18*100)</f>
        <v>3.6442158936761905E-3</v>
      </c>
      <c r="D30" s="237" t="s">
        <v>754</v>
      </c>
    </row>
    <row r="31" spans="1:18">
      <c r="A31" s="6" t="s">
        <v>33</v>
      </c>
      <c r="B31" s="37">
        <f>IF( ISERROR(IND_ander_ele_kWh/1000),0,IND_ander_ele_kWh/1000)</f>
        <v>523.75329999999997</v>
      </c>
      <c r="C31" s="39">
        <f>IF(ISERROR(B31*3.6/1000000/'E Balans VL '!Z19*100),0,B31*3.6/1000000/'E Balans VL '!Z19*100)</f>
        <v>2.375526881721619E-2</v>
      </c>
      <c r="D31" s="237" t="s">
        <v>754</v>
      </c>
    </row>
    <row r="32" spans="1:18">
      <c r="A32" s="171" t="s">
        <v>41</v>
      </c>
      <c r="B32" s="37">
        <f>IF( ISERROR(IND_voed_ele_kWh/1000),0,IND_voed_ele_kWh/1000)</f>
        <v>150.07300000000001</v>
      </c>
      <c r="C32" s="39">
        <f>IF(ISERROR(B32*3.6/1000000/'E Balans VL '!Z20*100),0,B32*3.6/1000000/'E Balans VL '!Z20*100)</f>
        <v>4.6424391638963027E-3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21.516999999999999</v>
      </c>
      <c r="C35" s="39">
        <f>IF(ISERROR(B35*3.6/1000000/'E Balans VL '!Z22*100),0,B35*3.6/1000000/'E Balans VL '!Z22*100)</f>
        <v>3.8702369773315668E-3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9.2680000000000007</v>
      </c>
      <c r="C37" s="39">
        <f>IF(ISERROR(B37*3.6/1000000/'E Balans VL '!Z15*100),0,B37*3.6/1000000/'E Balans VL '!Z15*100)</f>
        <v>7.3460282186500734E-5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2346.962</v>
      </c>
      <c r="C5" s="17">
        <f>'Eigen informatie GS &amp; warmtenet'!B60</f>
        <v>0</v>
      </c>
      <c r="D5" s="30">
        <f>IF(ISERROR(SUM(LB_lb_gas_kWh,LB_rest_gas_kWh)/1000),0,SUM(LB_lb_gas_kWh,LB_rest_gas_kWh)/1000)*0.902</f>
        <v>302.77073200000001</v>
      </c>
      <c r="E5" s="17">
        <f>B17*'E Balans VL '!I25/3.6*1000000/100</f>
        <v>68.984381629341172</v>
      </c>
      <c r="F5" s="17">
        <f>B17*('E Balans VL '!L25/3.6*1000000+'E Balans VL '!N25/3.6*1000000)/100</f>
        <v>9777.3168688301739</v>
      </c>
      <c r="G5" s="18"/>
      <c r="H5" s="17"/>
      <c r="I5" s="17"/>
      <c r="J5" s="17">
        <f>('E Balans VL '!D25+'E Balans VL '!E25)/3.6*1000000*landbouw!B17/100</f>
        <v>340.02439221410873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2346.962</v>
      </c>
      <c r="C8" s="21">
        <f>C5+C6</f>
        <v>0</v>
      </c>
      <c r="D8" s="21">
        <f>MAX((D5+D6),0)</f>
        <v>302.77073200000001</v>
      </c>
      <c r="E8" s="21">
        <f>MAX((E5+E6),0)</f>
        <v>68.984381629341172</v>
      </c>
      <c r="F8" s="21">
        <f>MAX((F5+F6),0)</f>
        <v>9777.3168688301739</v>
      </c>
      <c r="G8" s="21"/>
      <c r="H8" s="21"/>
      <c r="I8" s="21"/>
      <c r="J8" s="21">
        <f>MAX((J5+J6),0)</f>
        <v>340.02439221410873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0.14080494200042312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330.46384828719704</v>
      </c>
      <c r="C12" s="23">
        <f ca="1">C8*C10</f>
        <v>0</v>
      </c>
      <c r="D12" s="23">
        <f>D8*D10</f>
        <v>61.159687864000006</v>
      </c>
      <c r="E12" s="23">
        <f>E8*E10</f>
        <v>15.659454629860447</v>
      </c>
      <c r="F12" s="23">
        <f>F8*F10</f>
        <v>2610.5436039776564</v>
      </c>
      <c r="G12" s="23"/>
      <c r="H12" s="23"/>
      <c r="I12" s="23"/>
      <c r="J12" s="23">
        <f>J8*J10</f>
        <v>120.36863484379448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0.33304127116871518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117.88278599672523</v>
      </c>
      <c r="C26" s="247">
        <f>B26*'GWP N2O_CH4'!B5</f>
        <v>2475.5385059312298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59.070780736054942</v>
      </c>
      <c r="C27" s="247">
        <f>B27*'GWP N2O_CH4'!B5</f>
        <v>1240.4863954571538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3.1798400649036727</v>
      </c>
      <c r="C28" s="247">
        <f>B28*'GWP N2O_CH4'!B4</f>
        <v>985.75042012013853</v>
      </c>
      <c r="D28" s="50"/>
    </row>
    <row r="29" spans="1:4">
      <c r="A29" s="41" t="s">
        <v>277</v>
      </c>
      <c r="B29" s="247">
        <f>B34*'ha_N2O bodem landbouw'!B4</f>
        <v>19.587166803908154</v>
      </c>
      <c r="C29" s="247">
        <f>B29*'GWP N2O_CH4'!B4</f>
        <v>6072.0217092115281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4.4697239642721397E-3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6.1764201092380662E-5</v>
      </c>
      <c r="C5" s="463" t="s">
        <v>211</v>
      </c>
      <c r="D5" s="448">
        <f>SUM(D6:D11)</f>
        <v>2.6273587021535312E-4</v>
      </c>
      <c r="E5" s="448">
        <f>SUM(E6:E11)</f>
        <v>3.4106213565740804E-4</v>
      </c>
      <c r="F5" s="461" t="s">
        <v>211</v>
      </c>
      <c r="G5" s="448">
        <f>SUM(G6:G11)</f>
        <v>0.10731832436097105</v>
      </c>
      <c r="H5" s="448">
        <f>SUM(H6:H11)</f>
        <v>2.9321762241130457E-2</v>
      </c>
      <c r="I5" s="463" t="s">
        <v>211</v>
      </c>
      <c r="J5" s="463" t="s">
        <v>211</v>
      </c>
      <c r="K5" s="463" t="s">
        <v>211</v>
      </c>
      <c r="L5" s="463" t="s">
        <v>211</v>
      </c>
      <c r="M5" s="448">
        <f>SUM(M6:M11)</f>
        <v>7.1350578995174494E-3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2.8562647404691595E-5</v>
      </c>
      <c r="C6" s="449"/>
      <c r="D6" s="892">
        <f>vkm_2011_GW_PW*SUMIFS(TableVerdeelsleutelVkm[CNG],TableVerdeelsleutelVkm[Voertuigtype],"Lichte voertuigen")*SUMIFS(TableECFTransport[EnergieConsumptieFactor (PJ per km)],TableECFTransport[Index],CONCATENATE($A6,"_CNG_CNG"))</f>
        <v>8.5671548745630573E-5</v>
      </c>
      <c r="E6" s="892">
        <f>vkm_2011_GW_PW*SUMIFS(TableVerdeelsleutelVkm[LPG],TableVerdeelsleutelVkm[Voertuigtype],"Lichte voertuigen")*SUMIFS(TableECFTransport[EnergieConsumptieFactor (PJ per km)],TableECFTransport[Index],CONCATENATE($A6,"_LPG_LPG"))</f>
        <v>1.1703964169803575E-4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3.0261086162547291E-2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9.7441528870722757E-3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2.0554398271683785E-3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1.4661187860085923E-2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4.468432142903105E-6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8.567503545032361E-4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3.3201553687689064E-5</v>
      </c>
      <c r="C8" s="449"/>
      <c r="D8" s="451">
        <f>vkm_2011_NGW_PW*SUMIFS(TableVerdeelsleutelVkm[CNG],TableVerdeelsleutelVkm[Voertuigtype],"Lichte voertuigen")*SUMIFS(TableECFTransport[EnergieConsumptieFactor (PJ per km)],TableECFTransport[Index],CONCATENATE($A8,"_CNG_CNG"))</f>
        <v>1.7706432146972253E-4</v>
      </c>
      <c r="E8" s="451">
        <f>vkm_2011_NGW_PW*SUMIFS(TableVerdeelsleutelVkm[LPG],TableVerdeelsleutelVkm[Voertuigtype],"Lichte voertuigen")*SUMIFS(TableECFTransport[EnergieConsumptieFactor (PJ per km)],TableECFTransport[Index],CONCATENATE($A8,"_LPG_LPG"))</f>
        <v>2.2402249395937228E-4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5.3977126510703667E-2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1.957072533293042E-2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3.7308986463810115E-3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8.41892382763418E-3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2.4155889848604085E-6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4.9196907146482297E-4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17.156722525661294</v>
      </c>
      <c r="C14" s="21"/>
      <c r="D14" s="21">
        <f t="shared" ref="D14:M14" si="0">((D5)*10^9/3600)+D12</f>
        <v>72.982186170931413</v>
      </c>
      <c r="E14" s="21">
        <f t="shared" si="0"/>
        <v>94.739482127057784</v>
      </c>
      <c r="F14" s="21"/>
      <c r="G14" s="21">
        <f t="shared" si="0"/>
        <v>29810.64565582529</v>
      </c>
      <c r="H14" s="21">
        <f t="shared" si="0"/>
        <v>8144.933955869571</v>
      </c>
      <c r="I14" s="21"/>
      <c r="J14" s="21"/>
      <c r="K14" s="21"/>
      <c r="L14" s="21"/>
      <c r="M14" s="21">
        <f t="shared" si="0"/>
        <v>1981.960527643736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0.14080494200042312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2.4157513201430914</v>
      </c>
      <c r="C18" s="23"/>
      <c r="D18" s="23">
        <f t="shared" ref="D18:M18" si="1">D14*D16</f>
        <v>14.742401606528146</v>
      </c>
      <c r="E18" s="23">
        <f t="shared" si="1"/>
        <v>21.505862442842119</v>
      </c>
      <c r="F18" s="23"/>
      <c r="G18" s="23">
        <f t="shared" si="1"/>
        <v>7959.4423901053533</v>
      </c>
      <c r="H18" s="23">
        <f t="shared" si="1"/>
        <v>2028.0885550115231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3.7031864018428847E-3</v>
      </c>
      <c r="H50" s="321">
        <f t="shared" si="2"/>
        <v>0</v>
      </c>
      <c r="I50" s="321">
        <f t="shared" si="2"/>
        <v>0</v>
      </c>
      <c r="J50" s="321">
        <f t="shared" si="2"/>
        <v>0</v>
      </c>
      <c r="K50" s="321">
        <f t="shared" si="2"/>
        <v>0</v>
      </c>
      <c r="L50" s="321">
        <f t="shared" si="2"/>
        <v>0</v>
      </c>
      <c r="M50" s="321">
        <f t="shared" si="2"/>
        <v>2.1032463962543862E-4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3.7031864018428847E-3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2.1032463962543862E-4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1028.6628894008013</v>
      </c>
      <c r="H54" s="21">
        <f t="shared" si="3"/>
        <v>0</v>
      </c>
      <c r="I54" s="21">
        <f t="shared" si="3"/>
        <v>0</v>
      </c>
      <c r="J54" s="21">
        <f t="shared" si="3"/>
        <v>0</v>
      </c>
      <c r="K54" s="21">
        <f t="shared" si="3"/>
        <v>0</v>
      </c>
      <c r="L54" s="21">
        <f t="shared" si="3"/>
        <v>0</v>
      </c>
      <c r="M54" s="21">
        <f t="shared" si="3"/>
        <v>58.423511007066288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0.14080494200042312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274.65299147001394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4695.6558338816685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10552.5</v>
      </c>
      <c r="C8" s="570">
        <f>B101</f>
        <v>0</v>
      </c>
      <c r="D8" s="1044"/>
      <c r="E8" s="1044">
        <f>E101</f>
        <v>0</v>
      </c>
      <c r="F8" s="1045"/>
      <c r="G8" s="571"/>
      <c r="H8" s="1044">
        <f>I101</f>
        <v>0</v>
      </c>
      <c r="I8" s="1044">
        <f>G101+F101</f>
        <v>0</v>
      </c>
      <c r="J8" s="1044">
        <f>H101+D101+C101</f>
        <v>12414.705882352942</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15248.155833881669</v>
      </c>
      <c r="C10" s="583">
        <f t="shared" ref="C10:L10" si="0">SUM(C8:C9)</f>
        <v>0</v>
      </c>
      <c r="D10" s="583">
        <f t="shared" si="0"/>
        <v>0</v>
      </c>
      <c r="E10" s="583">
        <f t="shared" si="0"/>
        <v>0</v>
      </c>
      <c r="F10" s="583">
        <f t="shared" si="0"/>
        <v>0</v>
      </c>
      <c r="G10" s="583">
        <f t="shared" si="0"/>
        <v>0</v>
      </c>
      <c r="H10" s="583">
        <f t="shared" si="0"/>
        <v>0</v>
      </c>
      <c r="I10" s="583">
        <f t="shared" si="0"/>
        <v>0</v>
      </c>
      <c r="J10" s="583">
        <f t="shared" si="0"/>
        <v>12414.705882352942</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15075</v>
      </c>
      <c r="C17" s="595">
        <f>B102</f>
        <v>0</v>
      </c>
      <c r="D17" s="596"/>
      <c r="E17" s="596">
        <f>E102</f>
        <v>0</v>
      </c>
      <c r="F17" s="1050"/>
      <c r="G17" s="597"/>
      <c r="H17" s="595">
        <f>I102</f>
        <v>0</v>
      </c>
      <c r="I17" s="596">
        <f>G102+F102</f>
        <v>0</v>
      </c>
      <c r="J17" s="596">
        <f>H102+D102+C102</f>
        <v>17735.294117647063</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15075</v>
      </c>
      <c r="C20" s="582">
        <f>SUM(C17:C19)</f>
        <v>0</v>
      </c>
      <c r="D20" s="582">
        <f t="shared" ref="D20:L20" si="1">SUM(D17:D19)</f>
        <v>0</v>
      </c>
      <c r="E20" s="582">
        <f t="shared" si="1"/>
        <v>0</v>
      </c>
      <c r="F20" s="582">
        <f t="shared" si="1"/>
        <v>0</v>
      </c>
      <c r="G20" s="582">
        <f t="shared" si="1"/>
        <v>0</v>
      </c>
      <c r="H20" s="582">
        <f t="shared" si="1"/>
        <v>0</v>
      </c>
      <c r="I20" s="582">
        <f t="shared" si="1"/>
        <v>0</v>
      </c>
      <c r="J20" s="582">
        <f t="shared" si="1"/>
        <v>17735.294117647063</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24130</v>
      </c>
      <c r="C28" s="796">
        <v>3440</v>
      </c>
      <c r="D28" s="653" t="s">
        <v>881</v>
      </c>
      <c r="E28" s="652" t="s">
        <v>882</v>
      </c>
      <c r="F28" s="652" t="s">
        <v>883</v>
      </c>
      <c r="G28" s="652" t="s">
        <v>884</v>
      </c>
      <c r="H28" s="652" t="s">
        <v>885</v>
      </c>
      <c r="I28" s="652" t="s">
        <v>882</v>
      </c>
      <c r="J28" s="795">
        <v>39744</v>
      </c>
      <c r="K28" s="795">
        <v>39750</v>
      </c>
      <c r="L28" s="652" t="s">
        <v>886</v>
      </c>
      <c r="M28" s="652">
        <v>2345</v>
      </c>
      <c r="N28" s="652">
        <v>10552.5</v>
      </c>
      <c r="O28" s="652">
        <v>15075</v>
      </c>
      <c r="P28" s="652">
        <v>0</v>
      </c>
      <c r="Q28" s="652">
        <v>30150.000000000004</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2345</v>
      </c>
      <c r="N58" s="610">
        <f>SUM(N28:N57)</f>
        <v>10552.5</v>
      </c>
      <c r="O58" s="610">
        <f t="shared" ref="O58:W58" si="2">SUM(O28:O57)</f>
        <v>15075</v>
      </c>
      <c r="P58" s="610">
        <f t="shared" si="2"/>
        <v>0</v>
      </c>
      <c r="Q58" s="610">
        <f t="shared" si="2"/>
        <v>30150.000000000004</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2345</v>
      </c>
      <c r="N60" s="610">
        <f ca="1">SUMIF($Z$28:AD57,"tertiair",N28:N57)</f>
        <v>10552.5</v>
      </c>
      <c r="O60" s="610">
        <f ca="1">SUMIF($Z$28:AE57,"tertiair",O28:O57)</f>
        <v>15075</v>
      </c>
      <c r="P60" s="610">
        <f ca="1">SUMIF($Z$28:AF57,"tertiair",P28:P57)</f>
        <v>0</v>
      </c>
      <c r="Q60" s="610">
        <f ca="1">SUMIF($Z$28:AG57,"tertiair",Q28:Q57)</f>
        <v>30150.000000000004</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12414.705882352942</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17735.294117647063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2019-08-12T08:33:01Z</dcterms:modified>
</cp:coreProperties>
</file>