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J7" i="48"/>
  <c r="J25" s="1"/>
  <c r="K24" i="14"/>
  <c r="K26" s="1"/>
  <c r="C22"/>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P13"/>
  <c r="P16" s="1"/>
  <c r="P27" s="1"/>
  <c r="O8" i="48"/>
  <c r="O26" s="1"/>
  <c r="I23"/>
  <c r="I33" s="1"/>
  <c r="I15"/>
  <c r="J4"/>
  <c r="K11" i="14"/>
  <c r="O11"/>
  <c r="N4" i="48"/>
  <c r="N22" s="1"/>
  <c r="O33"/>
  <c r="Q63" i="14"/>
  <c r="M14" i="22"/>
  <c r="M18" s="1"/>
  <c r="N50" i="14" s="1"/>
  <c r="N52" s="1"/>
  <c r="N61" s="1"/>
  <c r="O15" i="48"/>
  <c r="H19" i="14"/>
  <c r="G10" i="48"/>
  <c r="E7"/>
  <c r="E25" s="1"/>
  <c r="F24" i="14"/>
  <c r="F26" s="1"/>
  <c r="I20"/>
  <c r="H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G9" i="48"/>
  <c r="H20" i="14"/>
  <c r="R20" s="1"/>
  <c r="R22" s="1"/>
  <c r="J5" i="48"/>
  <c r="J23" s="1"/>
  <c r="K10" i="14"/>
  <c r="E22" i="48"/>
  <c r="Q4"/>
  <c r="H22" i="14"/>
  <c r="H27" s="1"/>
  <c r="R19"/>
  <c r="G28" i="48"/>
  <c r="Q10"/>
  <c r="N20" i="14"/>
  <c r="Q7" i="48"/>
  <c r="J22"/>
  <c r="F10" i="14"/>
  <c r="E5" i="48"/>
  <c r="E23" s="1"/>
  <c r="M9"/>
  <c r="M15" s="1"/>
  <c r="R11" i="14"/>
  <c r="M27" i="48"/>
  <c r="M33" s="1"/>
  <c r="Q9"/>
  <c r="H15"/>
  <c r="H27"/>
  <c r="H33" s="1"/>
  <c r="R24" i="14"/>
  <c r="R26" s="1"/>
  <c r="N18" i="16"/>
  <c r="E20" i="15"/>
  <c r="F40" i="14" s="1"/>
  <c r="F18" i="16"/>
  <c r="J18"/>
  <c r="E18"/>
  <c r="G18" i="22"/>
  <c r="H50" i="14" s="1"/>
  <c r="H52" s="1"/>
  <c r="H61" s="1"/>
  <c r="H18" i="22"/>
  <c r="I50" i="14" s="1"/>
  <c r="I52" s="1"/>
  <c r="I61" s="1"/>
  <c r="I63" s="1"/>
  <c r="J8" i="48" l="1"/>
  <c r="K13" i="14"/>
  <c r="K16" s="1"/>
  <c r="K27" s="1"/>
  <c r="K63" s="1"/>
  <c r="F13"/>
  <c r="F16" s="1"/>
  <c r="F27" s="1"/>
  <c r="F63" s="1"/>
  <c r="E8" i="48"/>
  <c r="E26" s="1"/>
  <c r="E33" s="1"/>
  <c r="H63" i="14"/>
  <c r="G27" i="48"/>
  <c r="G33" s="1"/>
  <c r="G15"/>
  <c r="N8"/>
  <c r="N26" s="1"/>
  <c r="O13" i="14"/>
  <c r="F8" i="48"/>
  <c r="G13" i="14"/>
  <c r="E22" i="16"/>
  <c r="F43" i="14" s="1"/>
  <c r="F46" s="1"/>
  <c r="F61" s="1"/>
  <c r="F22" i="16"/>
  <c r="G43" i="14" s="1"/>
  <c r="N22" i="16"/>
  <c r="O43" i="14" s="1"/>
  <c r="J22" i="16"/>
  <c r="K43" i="14" s="1"/>
  <c r="K46" s="1"/>
  <c r="K61" s="1"/>
  <c r="J26" i="48" l="1"/>
  <c r="J33" s="1"/>
  <c r="J15"/>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<sst xmlns="http://schemas.openxmlformats.org/spreadsheetml/2006/main" count="2399" uniqueCount="890">
  <si>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</si>
  <si>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</si>
  <si>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</si>
  <si>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</si>
  <si>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</si>
  <si>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</si>
  <si>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</si>
  <si>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</si>
  <si>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</si>
  <si>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</si>
  <si>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</si>
  <si>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</si>
  <si>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</si>
  <si>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</si>
  <si>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</si>
  <si>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</si>
  <si>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</si>
  <si>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</si>
  <si>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</si>
  <si>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</si>
  <si>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</si>
  <si>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</si>
  <si>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</si>
  <si>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</si>
  <si>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</si>
  <si>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</si>
  <si>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</si>
  <si>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</si>
  <si>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</si>
  <si>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</si>
  <si>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</si>
  <si>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</si>
  <si>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</si>
  <si>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</si>
  <si>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</si>
  <si>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</si>
  <si>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</si>
  <si>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</si>
  <si>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</si>
  <si>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</si>
  <si>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</si>
  <si>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</si>
  <si>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</si>
  <si>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</si>
  <si>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</si>
  <si>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</si>
  <si>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</si>
  <si>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</si>
  <si>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</si>
  <si>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</si>
  <si>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</si>
  <si>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</si>
  <si>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</si>
  <si>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</si>
  <si>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</si>
  <si>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</si>
  <si>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</si>
  <si>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</si>
  <si>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</si>
  <si>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</si>
  <si>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</si>
  <si>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</si>
  <si>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</si>
  <si>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</si>
  <si>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</si>
  <si>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</si>
  <si>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</si>
  <si>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</si>
  <si>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</si>
  <si>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</si>
  <si>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</si>
  <si>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</si>
  <si>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</si>
  <si>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</si>
  <si>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</si>
  <si>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</si>
  <si>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</si>
  <si>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</si>
  <si>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</si>
  <si>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</si>
  <si>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</si>
  <si>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</si>
  <si>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</si>
  <si>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</si>
  <si>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</si>
  <si>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</si>
  <si>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</si>
  <si>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</si>
  <si>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</si>
  <si>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</si>
  <si>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</si>
  <si>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</si>
  <si>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</si>
  <si>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</si>
  <si>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</si>
  <si>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</si>
  <si>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</si>
  <si>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</si>
  <si>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</si>
  <si>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</si>
  <si>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</si>
  <si>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</si>
  <si>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</si>
  <si>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</si>
  <si>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</si>
  <si>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</si>
  <si>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</si>
  <si>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</si>
  <si>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</si>
  <si>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</si>
  <si>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</si>
  <si>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</si>
  <si>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</si>
  <si>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</si>
  <si>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</si>
  <si>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</si>
  <si>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</si>
  <si>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</si>
  <si>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</si>
  <si>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</si>
  <si>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</si>
  <si>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</si>
  <si>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</si>
  <si>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</si>
  <si>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</si>
  <si>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</si>
  <si>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</si>
  <si>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</si>
  <si>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</si>
  <si>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</si>
  <si>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</si>
  <si>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</si>
  <si>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</si>
  <si>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</si>
  <si>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</si>
  <si>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</si>
  <si>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</si>
  <si>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</si>
  <si>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</si>
  <si>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</si>
  <si>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</si>
  <si>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</si>
  <si>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</si>
  <si>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</si>
  <si>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</si>
  <si>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</si>
  <si>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</si>
  <si>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</si>
  <si>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</si>
  <si>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</si>
  <si>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</si>
  <si>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</si>
  <si>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</si>
  <si>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</si>
  <si>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</si>
  <si>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</si>
  <si>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</si>
  <si>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</si>
  <si>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</si>
  <si>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</si>
  <si>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</si>
  <si>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</si>
  <si>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</si>
  <si>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</si>
  <si>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</si>
  <si>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</si>
  <si>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</si>
  <si>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</si>
  <si>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</si>
  <si>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</si>
  <si>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</si>
  <si>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</si>
  <si>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</si>
  <si>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</si>
  <si>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</si>
  <si>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</si>
  <si>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</si>
  <si>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</si>
  <si>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</si>
  <si>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</si>
  <si>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</si>
  <si>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</si>
  <si>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</si>
  <si>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</si>
  <si>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</si>
  <si>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</si>
  <si>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</si>
  <si>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</si>
  <si>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</si>
  <si>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</si>
  <si>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</si>
  <si>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</si>
  <si>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</si>
  <si>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</si>
  <si>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</si>
  <si>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</si>
  <si>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</si>
  <si>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</si>
  <si>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</si>
  <si>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</si>
  <si>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</si>
  <si>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</si>
  <si>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</si>
  <si>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</si>
  <si>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</si>
  <si>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</si>
  <si>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</si>
  <si>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</si>
  <si>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</si>
  <si>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</si>
  <si>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</si>
  <si>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</si>
  <si>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</si>
  <si>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</si>
  <si>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</si>
  <si>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</si>
  <si>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</si>
  <si>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</si>
  <si>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</si>
  <si>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</si>
  <si>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</si>
  <si>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</si>
  <si>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</si>
  <si>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</si>
  <si>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</si>
  <si>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</si>
  <si>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</si>
  <si>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</si>
  <si>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</si>
  <si>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</si>
  <si>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</si>
  <si>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</si>
  <si>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</si>
  <si>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</si>
  <si>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</si>
  <si>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</si>
  <si>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</si>
  <si>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</si>
  <si>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</si>
  <si>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</si>
  <si>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</si>
  <si>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</si>
  <si>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</si>
  <si>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</si>
  <si>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</si>
  <si>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</si>
  <si>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</si>
  <si>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</si>
  <si>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</si>
  <si>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</si>
  <si>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</si>
  <si>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</si>
  <si>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</si>
  <si>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</si>
  <si>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</si>
  <si>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</si>
  <si>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</si>
  <si>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</si>
  <si>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</si>
  <si>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</si>
  <si>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</si>
  <si>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</si>
  <si>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</si>
  <si>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</si>
  <si>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</si>
  <si>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</si>
  <si>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</si>
  <si>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</si>
  <si>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</si>
  <si>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</si>
  <si>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</si>
  <si>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</si>
  <si>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</si>
  <si>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</si>
  <si>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</si>
  <si>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</si>
  <si>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</si>
  <si>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</si>
  <si>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</si>
  <si>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</si>
  <si>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</si>
  <si>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</si>
  <si>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</si>
  <si>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</si>
  <si>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</si>
  <si>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</si>
  <si>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</si>
  <si>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</si>
  <si>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</si>
  <si>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</si>
  <si>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</si>
  <si>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</si>
  <si>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</si>
  <si>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</si>
  <si>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</si>
  <si>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</si>
  <si>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</si>
  <si>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</si>
  <si>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</si>
  <si>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</si>
  <si>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</si>
  <si>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</si>
  <si>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</si>
  <si>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</si>
  <si>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</si>
  <si>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</si>
  <si>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</si>
  <si>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</si>
  <si>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</si>
  <si>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</si>
  <si>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</si>
  <si>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</si>
  <si>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</si>
  <si>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</si>
  <si>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</si>
  <si>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</si>
  <si>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</si>
  <si>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</si>
  <si>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</si>
  <si>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</si>
  <si>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</si>
  <si>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</si>
  <si>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</si>
  <si>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</si>
  <si>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</si>
  <si>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</si>
  <si>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</si>
  <si>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</si>
  <si>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</si>
  <si>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</si>
  <si>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</si>
  <si>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</si>
  <si>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</si>
  <si>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</si>
  <si>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</si>
  <si>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</si>
  <si>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</si>
  <si>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</si>
  <si>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</si>
  <si>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</si>
  <si>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</si>
  <si>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</si>
  <si>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</si>
  <si>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</si>
  <si>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</si>
  <si>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</si>
  <si>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</si>
  <si>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</si>
  <si>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</si>
  <si>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</si>
  <si>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</si>
  <si>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</si>
  <si>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</si>
  <si>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</si>
  <si>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</si>
  <si>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</si>
  <si>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</si>
  <si>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</si>
  <si>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</si>
  <si>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</si>
  <si>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</si>
  <si>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</si>
  <si>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</si>
  <si>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</si>
  <si>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</si>
  <si>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</si>
  <si>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</si>
  <si>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</si>
  <si>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</si>
  <si>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</si>
  <si>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</si>
  <si>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</si>
  <si>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</si>
  <si>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</si>
  <si>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</si>
  <si>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</si>
  <si>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</si>
  <si>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</si>
  <si>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</si>
  <si>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</si>
  <si>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</si>
  <si>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</si>
  <si>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</si>
  <si>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</si>
  <si>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</si>
  <si>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</si>
  <si>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</si>
  <si>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</si>
  <si>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</si>
  <si>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</si>
  <si>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</si>
  <si>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</si>
  <si>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</si>
  <si>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</si>
  <si>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</si>
  <si>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</si>
  <si>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</si>
  <si>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</si>
  <si>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</si>
  <si>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</si>
  <si>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</si>
  <si>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</si>
  <si>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</si>
  <si>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</si>
  <si>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</si>
  <si>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</si>
  <si>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</si>
  <si>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</si>
  <si>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</si>
  <si>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</si>
  <si>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</si>
  <si>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</si>
  <si>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</si>
  <si>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</si>
  <si>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</si>
  <si>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</si>
  <si>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</si>
  <si>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</si>
  <si>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</si>
  <si>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</si>
  <si>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</si>
  <si>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</si>
  <si>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</si>
  <si>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</si>
  <si>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</si>
  <si>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</si>
  <si>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</si>
  <si>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</si>
  <si>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</si>
  <si>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</si>
  <si>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</si>
  <si>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</si>
  <si>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</si>
  <si>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</si>
  <si>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</si>
  <si>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</si>
  <si>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</si>
  <si>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</si>
  <si>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</si>
  <si>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</si>
  <si>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</si>
  <si>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</si>
  <si>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</si>
  <si>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</si>
  <si>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</si>
  <si>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</si>
  <si>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</si>
  <si>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</si>
  <si>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</si>
  <si>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</si>
  <si>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</si>
  <si>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</si>
  <si>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</si>
  <si>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</si>
  <si>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</si>
  <si>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</si>
  <si>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</si>
  <si>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</si>
  <si>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</si>
  <si>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</si>
  <si>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</si>
  <si>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</si>
  <si>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</si>
  <si>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</si>
  <si>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</si>
  <si>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</si>
  <si>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</si>
  <si>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</si>
  <si>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</si>
  <si>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</si>
  <si>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</si>
  <si>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</si>
  <si>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</si>
  <si>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</si>
  <si>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</si>
  <si>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</si>
  <si>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</si>
  <si>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</si>
  <si>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</si>
  <si>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</si>
  <si>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</si>
  <si>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</si>
  <si>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</si>
  <si>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</si>
  <si>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</si>
  <si>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</si>
  <si>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</si>
  <si>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</si>
  <si>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</si>
  <si>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</si>
  <si>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</si>
  <si>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</si>
  <si>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</si>
  <si>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</si>
  <si>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</si>
  <si>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</si>
  <si>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</si>
  <si>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</si>
  <si>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</si>
  <si>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</si>
  <si>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</si>
  <si>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</si>
  <si>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</si>
  <si>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</si>
  <si>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</si>
  <si>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</si>
  <si>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</si>
  <si>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</si>
  <si>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</si>
  <si>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</si>
  <si>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</si>
  <si>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</si>
  <si>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</si>
  <si>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</si>
  <si>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</si>
  <si>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</si>
  <si>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</si>
  <si>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</si>
  <si>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</si>
  <si>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</si>
  <si>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</si>
  <si>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</si>
  <si>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</si>
  <si>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</si>
  <si>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</si>
  <si>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</si>
  <si>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</si>
  <si>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</si>
  <si>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</si>
  <si>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</si>
  <si>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</si>
  <si>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</si>
  <si>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</si>
  <si>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</si>
  <si>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</si>
  <si>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</si>
  <si>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</si>
  <si>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</si>
  <si>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</si>
  <si>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</si>
  <si>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</si>
  <si>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</si>
  <si>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</si>
  <si>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</si>
  <si>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</si>
  <si>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</si>
  <si>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</si>
  <si>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</si>
  <si>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</si>
  <si>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</si>
  <si>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</si>
  <si>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</si>
  <si>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</si>
  <si>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</si>
  <si>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</si>
  <si>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</si>
  <si>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</si>
  <si>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</si>
  <si>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</si>
  <si>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</si>
  <si>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</si>
  <si>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</si>
  <si>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</si>
  <si>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</si>
  <si>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</si>
  <si>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</si>
  <si>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</si>
  <si>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</si>
  <si>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</si>
  <si>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</si>
  <si>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</si>
  <si>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</si>
  <si>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</si>
  <si>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</si>
  <si>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</si>
  <si>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</si>
  <si>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</si>
  <si>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</si>
  <si>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</si>
  <si>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</si>
  <si>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</si>
  <si>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</si>
  <si>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</si>
  <si>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</si>
  <si>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</si>
  <si>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</si>
  <si>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</si>
  <si>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</si>
  <si>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</si>
  <si>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</si>
  <si>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</si>
  <si>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</si>
  <si>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</si>
  <si>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</si>
  <si>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</si>
  <si>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</si>
  <si>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</si>
  <si>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</si>
  <si>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</si>
  <si>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</si>
  <si>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</si>
  <si>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</si>
  <si>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</si>
  <si>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</si>
  <si>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</si>
  <si>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</si>
  <si>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</si>
  <si>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</si>
  <si>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</si>
  <si>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</si>
  <si>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</si>
  <si>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</si>
  <si>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</si>
  <si>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</si>
  <si>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</si>
  <si>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</si>
  <si>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</si>
  <si>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</si>
  <si>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</si>
  <si>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</si>
  <si>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</si>
  <si>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</si>
  <si>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</si>
  <si>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</si>
  <si>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</si>
  <si>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</si>
  <si>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</si>
  <si>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</si>
  <si>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</si>
  <si>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</si>
  <si>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</si>
  <si>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</si>
  <si>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</si>
  <si>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</si>
  <si>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</si>
  <si>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</si>
  <si>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</si>
  <si>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</si>
  <si>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</si>
  <si>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</si>
  <si>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</si>
  <si>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</si>
  <si>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</si>
  <si>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</si>
  <si>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</si>
  <si>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</si>
  <si>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</si>
  <si>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</si>
  <si>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</si>
  <si>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</si>
  <si>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</si>
  <si>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</si>
  <si>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</si>
  <si>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</si>
  <si>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</si>
  <si>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</si>
  <si>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</si>
  <si>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</si>
  <si>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</si>
  <si>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</si>
  <si>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</si>
  <si>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</si>
  <si>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</si>
  <si>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</si>
  <si>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</si>
  <si>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</si>
  <si>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</si>
  <si>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</si>
  <si>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</si>
  <si>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</si>
  <si>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</si>
  <si>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</si>
  <si>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</si>
  <si>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</si>
  <si>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</si>
  <si>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</si>
  <si>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</si>
  <si>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</si>
  <si>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</si>
  <si>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</si>
  <si>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</si>
  <si>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</si>
  <si>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</si>
  <si>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</si>
  <si>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</si>
  <si>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</si>
  <si>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</si>
  <si>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</si>
  <si>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</si>
  <si>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</si>
  <si>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</si>
  <si>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</si>
  <si>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</si>
  <si>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</si>
  <si>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</si>
  <si>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</si>
  <si>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</si>
  <si>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</si>
  <si>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</si>
  <si>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</si>
  <si>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</si>
  <si>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</si>
  <si>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</si>
  <si>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</si>
  <si>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</si>
  <si>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</si>
  <si>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</si>
  <si>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</si>
  <si>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</si>
  <si>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</si>
  <si>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</si>
  <si>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</si>
  <si>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</si>
  <si>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</si>
  <si>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</si>
  <si>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</si>
  <si>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</si>
  <si>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</si>
  <si>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</si>
  <si>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</si>
  <si>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</si>
  <si>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</si>
  <si>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</si>
  <si>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</si>
  <si>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</si>
  <si>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</si>
  <si>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</si>
  <si>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</si>
  <si>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</si>
  <si>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</si>
  <si>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</si>
  <si>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</si>
  <si>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</si>
  <si>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</si>
  <si>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</si>
  <si>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</si>
  <si>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</si>
  <si>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</si>
  <si>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</si>
  <si>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</si>
  <si>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</si>
  <si>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</si>
  <si>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</si>
  <si>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</si>
  <si>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</si>
  <si>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</si>
  <si>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</si>
  <si>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</si>
  <si>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</si>
  <si>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</si>
  <si>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</si>
  <si>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</si>
  <si>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</si>
  <si>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</si>
  <si>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</si>
  <si>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</si>
  <si>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</si>
  <si>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</si>
  <si>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</si>
  <si>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</si>
  <si>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</si>
  <si>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</si>
  <si>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</si>
  <si>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</si>
  <si>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</si>
  <si>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</si>
  <si>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</si>
  <si>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</si>
  <si>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</si>
  <si>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</si>
  <si>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</si>
  <si>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</si>
  <si>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</si>
  <si>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</si>
  <si>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</si>
  <si>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</si>
  <si>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</si>
  <si>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</si>
  <si>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</si>
  <si>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</si>
  <si>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</si>
  <si>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</si>
  <si>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</si>
  <si>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</si>
  <si>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</si>
  <si>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</si>
  <si>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</si>
  <si>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</si>
  <si>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</si>
  <si>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</si>
  <si>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</si>
  <si>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</si>
  <si>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</si>
  <si>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</si>
  <si>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</si>
  <si>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</si>
  <si>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</si>
  <si>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</si>
  <si>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</si>
  <si>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</si>
  <si>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</si>
  <si>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</si>
  <si>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</si>
  <si>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</si>
  <si>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</si>
  <si>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</si>
  <si>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</si>
  <si>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</si>
  <si>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</si>
  <si>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</si>
  <si>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</si>
  <si>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</si>
  <si>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</si>
  <si>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</si>
  <si>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</si>
  <si>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</si>
  <si>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</si>
  <si>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</si>
  <si>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</si>
  <si>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</si>
  <si>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</si>
  <si>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</si>
  <si>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</si>
  <si>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</si>
  <si>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</si>
  <si>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</si>
  <si>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</si>
  <si>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</si>
  <si>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</si>
  <si>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</si>
  <si>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</si>
  <si>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</si>
  <si>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</si>
  <si>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</si>
  <si>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</si>
  <si>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</si>
  <si>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</si>
  <si>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</si>
  <si>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</si>
  <si>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</si>
  <si>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</si>
  <si>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</si>
  <si>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</si>
  <si>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</si>
  <si>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</si>
  <si>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</si>
  <si>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</si>
  <si>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</si>
  <si>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</si>
  <si>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</si>
  <si>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</si>
  <si>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</si>
  <si>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</si>
  <si>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</si>
  <si>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</si>
  <si>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</si>
  <si>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</si>
  <si>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</si>
  <si>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</si>
  <si>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</si>
  <si>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</si>
  <si>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</si>
  <si>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</si>
  <si>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</si>
  <si>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</si>
  <si>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</si>
  <si>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</si>
  <si>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</si>
  <si>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</si>
  <si>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</si>
  <si>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</si>
  <si>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</si>
  <si>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</si>
  <si>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24094</t>
  </si>
  <si>
    <t>ROTSELAAR</t>
  </si>
  <si>
    <t>Eandis (januari 2018); Infrax (juni 2018)</t>
  </si>
  <si>
    <t>MOW (september 2017)</t>
  </si>
  <si>
    <t>referentietaak LNE (2017); Jaarverslag De Lijn (2016)</t>
  </si>
  <si>
    <t>VEA (april 2018)</t>
  </si>
  <si>
    <t>VEA (januari 2017)</t>
  </si>
  <si>
    <t>VEA (juni 2018)</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</si>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</sst>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146818.28867490834</c:v>
                </c:pt>
                <c:pt idx="1">
                  <c:v>34656.099784310201</c:v>
                </c:pt>
                <c:pt idx="2">
                  <c:v>699.43100000000004</c:v>
                </c:pt>
                <c:pt idx="3">
                  <c:v>3459.4938948817712</c:v>
                </c:pt>
                <c:pt idx="4">
                  <c:v>107220.56575217599</c:v>
                </c:pt>
                <c:pt idx="5">
                  <c:v>173921.02265838961</c:v>
                </c:pt>
                <c:pt idx="6">
                  <c:v>1701.0603635464192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146818.28867490834</c:v>
                </c:pt>
                <c:pt idx="1">
                  <c:v>34656.099784310201</c:v>
                </c:pt>
                <c:pt idx="2">
                  <c:v>699.43100000000004</c:v>
                </c:pt>
                <c:pt idx="3">
                  <c:v>3459.4938948817712</c:v>
                </c:pt>
                <c:pt idx="4">
                  <c:v>107220.56575217599</c:v>
                </c:pt>
                <c:pt idx="5">
                  <c:v>173921.02265838961</c:v>
                </c:pt>
                <c:pt idx="6">
                  <c:v>1701.0603635464192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30499.156010047693</c:v>
                </c:pt>
                <c:pt idx="2">
                  <c:v>6801.0232825752946</c:v>
                </c:pt>
                <c:pt idx="3">
                  <c:v>146.20414192197561</c:v>
                </c:pt>
                <c:pt idx="4">
                  <c:v>886.56801448246279</c:v>
                </c:pt>
                <c:pt idx="5">
                  <c:v>20608.949178940256</c:v>
                </c:pt>
                <c:pt idx="6">
                  <c:v>43521.829232108212</c:v>
                </c:pt>
                <c:pt idx="7">
                  <c:v>429.7738591374179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30499.156010047693</c:v>
                </c:pt>
                <c:pt idx="2">
                  <c:v>6801.0232825752946</c:v>
                </c:pt>
                <c:pt idx="3">
                  <c:v>146.20414192197561</c:v>
                </c:pt>
                <c:pt idx="4">
                  <c:v>886.56801448246279</c:v>
                </c:pt>
                <c:pt idx="5">
                  <c:v>20608.949178940256</c:v>
                </c:pt>
                <c:pt idx="6">
                  <c:v>43521.829232108212</c:v>
                </c:pt>
                <c:pt idx="7">
                  <c:v>429.7738591374179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24094</v>
      </c>
      <c r="B6" s="415"/>
      <c r="C6" s="416"/>
    </row>
    <row r="7" spans="1:7" s="413" customFormat="1" ht="15.75" customHeight="1">
      <c r="A7" s="417" t="str">
        <f>txtMunicipality</f>
        <v>ROTSELAAR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0.20903297383441052</v>
      </c>
      <c r="C17" s="524">
        <f ca="1">'EF ele_warmte'!B22</f>
        <v>0.18661854926019486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0.20903297383441052</v>
      </c>
      <c r="C29" s="525">
        <f ca="1">'EF ele_warmte'!B22</f>
        <v>0.18661854926019486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6527</v>
      </c>
      <c r="C9" s="342">
        <v>6546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939.1</v>
      </c>
    </row>
    <row r="15" spans="1:6">
      <c r="A15" s="348" t="s">
        <v>184</v>
      </c>
      <c r="B15" s="334">
        <v>1</v>
      </c>
    </row>
    <row r="16" spans="1:6">
      <c r="A16" s="348" t="s">
        <v>6</v>
      </c>
      <c r="B16" s="334">
        <v>0</v>
      </c>
    </row>
    <row r="17" spans="1:6">
      <c r="A17" s="348" t="s">
        <v>7</v>
      </c>
      <c r="B17" s="334">
        <v>26</v>
      </c>
    </row>
    <row r="18" spans="1:6">
      <c r="A18" s="348" t="s">
        <v>8</v>
      </c>
      <c r="B18" s="334">
        <v>16</v>
      </c>
    </row>
    <row r="19" spans="1:6">
      <c r="A19" s="348" t="s">
        <v>9</v>
      </c>
      <c r="B19" s="334">
        <v>21</v>
      </c>
    </row>
    <row r="20" spans="1:6">
      <c r="A20" s="348" t="s">
        <v>10</v>
      </c>
      <c r="B20" s="334">
        <v>135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272</v>
      </c>
    </row>
    <row r="27" spans="1:6">
      <c r="A27" s="348" t="s">
        <v>17</v>
      </c>
      <c r="B27" s="334">
        <v>0</v>
      </c>
    </row>
    <row r="28" spans="1:6" s="356" customFormat="1">
      <c r="A28" s="355" t="s">
        <v>18</v>
      </c>
      <c r="B28" s="355">
        <v>0</v>
      </c>
    </row>
    <row r="29" spans="1:6">
      <c r="A29" s="355" t="s">
        <v>744</v>
      </c>
      <c r="B29" s="355">
        <v>54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23584.509309436198</v>
      </c>
    </row>
    <row r="37" spans="1:6">
      <c r="A37" s="348" t="s">
        <v>25</v>
      </c>
      <c r="B37" s="348" t="s">
        <v>28</v>
      </c>
      <c r="C37" s="334">
        <v>0</v>
      </c>
      <c r="D37" s="334">
        <v>0</v>
      </c>
      <c r="E37" s="334">
        <v>0</v>
      </c>
      <c r="F37" s="334">
        <v>0</v>
      </c>
    </row>
    <row r="38" spans="1:6">
      <c r="A38" s="348" t="s">
        <v>25</v>
      </c>
      <c r="B38" s="348" t="s">
        <v>29</v>
      </c>
      <c r="C38" s="334">
        <v>0</v>
      </c>
      <c r="D38" s="334">
        <v>0</v>
      </c>
      <c r="E38" s="334">
        <v>2</v>
      </c>
      <c r="F38" s="334">
        <v>2094.9598488891002</v>
      </c>
    </row>
    <row r="39" spans="1:6">
      <c r="A39" s="348" t="s">
        <v>30</v>
      </c>
      <c r="B39" s="348" t="s">
        <v>31</v>
      </c>
      <c r="C39" s="334">
        <v>2966</v>
      </c>
      <c r="D39" s="334">
        <v>51055806.042686902</v>
      </c>
      <c r="E39" s="334">
        <v>6386</v>
      </c>
      <c r="F39" s="334">
        <v>25985579.990814801</v>
      </c>
    </row>
    <row r="40" spans="1:6">
      <c r="A40" s="348" t="s">
        <v>30</v>
      </c>
      <c r="B40" s="348" t="s">
        <v>29</v>
      </c>
      <c r="C40" s="334">
        <v>0</v>
      </c>
      <c r="D40" s="334">
        <v>0</v>
      </c>
      <c r="E40" s="334">
        <v>0</v>
      </c>
      <c r="F40" s="334">
        <v>0</v>
      </c>
    </row>
    <row r="41" spans="1:6">
      <c r="A41" s="348" t="s">
        <v>32</v>
      </c>
      <c r="B41" s="348" t="s">
        <v>33</v>
      </c>
      <c r="C41" s="334">
        <v>19</v>
      </c>
      <c r="D41" s="334">
        <v>341740.55373810203</v>
      </c>
      <c r="E41" s="334">
        <v>96</v>
      </c>
      <c r="F41" s="334">
        <v>1600150.1217650599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41134.800005450503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22602.3454062448</v>
      </c>
    </row>
    <row r="48" spans="1:6">
      <c r="A48" s="348" t="s">
        <v>32</v>
      </c>
      <c r="B48" s="348" t="s">
        <v>29</v>
      </c>
      <c r="C48" s="334">
        <v>43</v>
      </c>
      <c r="D48" s="334">
        <v>41571026.419934697</v>
      </c>
      <c r="E48" s="334">
        <v>61</v>
      </c>
      <c r="F48" s="334">
        <v>44152545.790769503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14</v>
      </c>
      <c r="F51" s="334">
        <v>474236.62242426199</v>
      </c>
    </row>
    <row r="52" spans="1:6">
      <c r="A52" s="348" t="s">
        <v>42</v>
      </c>
      <c r="B52" s="348" t="s">
        <v>29</v>
      </c>
      <c r="C52" s="334">
        <v>5</v>
      </c>
      <c r="D52" s="334">
        <v>137257.094516868</v>
      </c>
      <c r="E52" s="334">
        <v>18</v>
      </c>
      <c r="F52" s="334">
        <v>150398.60440469801</v>
      </c>
    </row>
    <row r="53" spans="1:6">
      <c r="A53" s="348" t="s">
        <v>44</v>
      </c>
      <c r="B53" s="348" t="s">
        <v>45</v>
      </c>
      <c r="C53" s="334">
        <v>80</v>
      </c>
      <c r="D53" s="334">
        <v>1579695.9779248401</v>
      </c>
      <c r="E53" s="334">
        <v>216</v>
      </c>
      <c r="F53" s="334">
        <v>789187.538015823</v>
      </c>
    </row>
    <row r="54" spans="1:6">
      <c r="A54" s="348" t="s">
        <v>46</v>
      </c>
      <c r="B54" s="348" t="s">
        <v>47</v>
      </c>
      <c r="C54" s="334">
        <v>0</v>
      </c>
      <c r="D54" s="334">
        <v>0</v>
      </c>
      <c r="E54" s="334">
        <v>1</v>
      </c>
      <c r="F54" s="334">
        <v>699431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1740066.1893474399</v>
      </c>
      <c r="E57" s="334">
        <v>74</v>
      </c>
      <c r="F57" s="334">
        <v>1757661.6725127299</v>
      </c>
    </row>
    <row r="58" spans="1:6">
      <c r="A58" s="348" t="s">
        <v>49</v>
      </c>
      <c r="B58" s="348" t="s">
        <v>51</v>
      </c>
      <c r="C58" s="334">
        <v>10</v>
      </c>
      <c r="D58" s="334">
        <v>230884.13059203699</v>
      </c>
      <c r="E58" s="334">
        <v>22</v>
      </c>
      <c r="F58" s="334">
        <v>182958.70987504401</v>
      </c>
    </row>
    <row r="59" spans="1:6">
      <c r="A59" s="348" t="s">
        <v>49</v>
      </c>
      <c r="B59" s="348" t="s">
        <v>52</v>
      </c>
      <c r="C59" s="334">
        <v>17</v>
      </c>
      <c r="D59" s="334">
        <v>641847.616646223</v>
      </c>
      <c r="E59" s="334">
        <v>60</v>
      </c>
      <c r="F59" s="334">
        <v>1377866.48468873</v>
      </c>
    </row>
    <row r="60" spans="1:6">
      <c r="A60" s="348" t="s">
        <v>49</v>
      </c>
      <c r="B60" s="348" t="s">
        <v>53</v>
      </c>
      <c r="C60" s="334">
        <v>25</v>
      </c>
      <c r="D60" s="334">
        <v>1296406.38111775</v>
      </c>
      <c r="E60" s="334">
        <v>43</v>
      </c>
      <c r="F60" s="334">
        <v>802182.53357203398</v>
      </c>
    </row>
    <row r="61" spans="1:6">
      <c r="A61" s="348" t="s">
        <v>49</v>
      </c>
      <c r="B61" s="348" t="s">
        <v>54</v>
      </c>
      <c r="C61" s="334">
        <v>38</v>
      </c>
      <c r="D61" s="334">
        <v>2125394.5877387598</v>
      </c>
      <c r="E61" s="334">
        <v>220</v>
      </c>
      <c r="F61" s="334">
        <v>1902285.14193759</v>
      </c>
    </row>
    <row r="62" spans="1:6">
      <c r="A62" s="348" t="s">
        <v>49</v>
      </c>
      <c r="B62" s="348" t="s">
        <v>55</v>
      </c>
      <c r="C62" s="334">
        <v>3</v>
      </c>
      <c r="D62" s="334">
        <v>53411.445606771798</v>
      </c>
      <c r="E62" s="334">
        <v>4</v>
      </c>
      <c r="F62" s="334">
        <v>34644.094164578499</v>
      </c>
    </row>
    <row r="63" spans="1:6">
      <c r="A63" s="348" t="s">
        <v>49</v>
      </c>
      <c r="B63" s="348" t="s">
        <v>29</v>
      </c>
      <c r="C63" s="334">
        <v>177</v>
      </c>
      <c r="D63" s="334">
        <v>10116413.330830401</v>
      </c>
      <c r="E63" s="334">
        <v>242</v>
      </c>
      <c r="F63" s="334">
        <v>8749201.1905789506</v>
      </c>
    </row>
    <row r="64" spans="1:6">
      <c r="A64" s="348" t="s">
        <v>56</v>
      </c>
      <c r="B64" s="348" t="s">
        <v>57</v>
      </c>
      <c r="C64" s="334">
        <v>0</v>
      </c>
      <c r="D64" s="334">
        <v>0</v>
      </c>
      <c r="E64" s="334">
        <v>0</v>
      </c>
      <c r="F64" s="334">
        <v>0</v>
      </c>
    </row>
    <row r="65" spans="1:6">
      <c r="A65" s="348" t="s">
        <v>56</v>
      </c>
      <c r="B65" s="348" t="s">
        <v>29</v>
      </c>
      <c r="C65" s="334">
        <v>1</v>
      </c>
      <c r="D65" s="334">
        <v>28666.2807021884</v>
      </c>
      <c r="E65" s="334">
        <v>7</v>
      </c>
      <c r="F65" s="334">
        <v>134479.78954962801</v>
      </c>
    </row>
    <row r="66" spans="1:6">
      <c r="A66" s="348" t="s">
        <v>56</v>
      </c>
      <c r="B66" s="348" t="s">
        <v>58</v>
      </c>
      <c r="C66" s="334">
        <v>0</v>
      </c>
      <c r="D66" s="334">
        <v>0</v>
      </c>
      <c r="E66" s="334">
        <v>4</v>
      </c>
      <c r="F66" s="334">
        <v>41050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85019848</v>
      </c>
      <c r="E73" s="475">
        <v>87671920.168188974</v>
      </c>
    </row>
    <row r="74" spans="1:6">
      <c r="A74" s="348" t="s">
        <v>64</v>
      </c>
      <c r="B74" s="348" t="s">
        <v>657</v>
      </c>
      <c r="C74" s="1295" t="s">
        <v>659</v>
      </c>
      <c r="D74" s="475">
        <v>5431085</v>
      </c>
      <c r="E74" s="475">
        <v>5564533.540077148</v>
      </c>
    </row>
    <row r="75" spans="1:6">
      <c r="A75" s="348" t="s">
        <v>65</v>
      </c>
      <c r="B75" s="348" t="s">
        <v>656</v>
      </c>
      <c r="C75" s="1295" t="s">
        <v>660</v>
      </c>
      <c r="D75" s="475">
        <v>23794720</v>
      </c>
      <c r="E75" s="475">
        <v>24616902.848354887</v>
      </c>
    </row>
    <row r="76" spans="1:6">
      <c r="A76" s="348" t="s">
        <v>65</v>
      </c>
      <c r="B76" s="348" t="s">
        <v>657</v>
      </c>
      <c r="C76" s="1295" t="s">
        <v>661</v>
      </c>
      <c r="D76" s="475">
        <v>247515</v>
      </c>
      <c r="E76" s="475">
        <v>258202.89011920081</v>
      </c>
    </row>
    <row r="77" spans="1:6">
      <c r="A77" s="348" t="s">
        <v>66</v>
      </c>
      <c r="B77" s="348" t="s">
        <v>656</v>
      </c>
      <c r="C77" s="1295" t="s">
        <v>662</v>
      </c>
      <c r="D77" s="475">
        <v>91891175</v>
      </c>
      <c r="E77" s="475">
        <v>95961295.234450281</v>
      </c>
    </row>
    <row r="78" spans="1:6">
      <c r="A78" s="341" t="s">
        <v>66</v>
      </c>
      <c r="B78" s="341" t="s">
        <v>657</v>
      </c>
      <c r="C78" s="341" t="s">
        <v>663</v>
      </c>
      <c r="D78" s="1296">
        <v>9643416</v>
      </c>
      <c r="E78" s="1296">
        <v>10256196.0723926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461356</v>
      </c>
      <c r="C83" s="475">
        <v>461983.75910724106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193.49682045051193</v>
      </c>
    </row>
    <row r="90" spans="1:6">
      <c r="A90" s="348" t="s">
        <v>549</v>
      </c>
      <c r="B90" s="1297">
        <v>0</v>
      </c>
    </row>
    <row r="91" spans="1:6">
      <c r="A91" s="348" t="s">
        <v>68</v>
      </c>
      <c r="B91" s="334">
        <v>3909.3479837519717</v>
      </c>
    </row>
    <row r="92" spans="1:6">
      <c r="A92" s="341" t="s">
        <v>69</v>
      </c>
      <c r="B92" s="342">
        <v>898.20104384532885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69</v>
      </c>
      <c r="C123" s="334">
        <v>42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211</v>
      </c>
    </row>
    <row r="130" spans="1:6">
      <c r="A130" s="348" t="s">
        <v>295</v>
      </c>
      <c r="B130" s="334">
        <v>1</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92899.372929016259</v>
      </c>
      <c r="C3" s="43" t="s">
        <v>170</v>
      </c>
      <c r="D3" s="43"/>
      <c r="E3" s="154"/>
      <c r="F3" s="43"/>
      <c r="G3" s="43"/>
      <c r="H3" s="43"/>
      <c r="I3" s="43"/>
      <c r="J3" s="43"/>
      <c r="K3" s="96"/>
    </row>
    <row r="4" spans="1:11">
      <c r="A4" s="383" t="s">
        <v>171</v>
      </c>
      <c r="B4" s="49">
        <f>IF(ISERROR('SEAP template'!B78+'SEAP template'!C78),0,'SEAP template'!B78+'SEAP template'!C78)</f>
        <v>5190.0458480478128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35.270905810176835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0.20903297383441052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47.837665618394595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256.33928571428572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0.18661854926019486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699.43100000000004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699.43100000000004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0.20903297383441052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146.20414192197561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25985.5799908148</v>
      </c>
      <c r="C5" s="17">
        <f>IF(ISERROR('Eigen informatie GS &amp; warmtenet'!B57),0,'Eigen informatie GS &amp; warmtenet'!B57)</f>
        <v>0</v>
      </c>
      <c r="D5" s="30">
        <f>(SUM(HH_hh_gas_kWh,HH_rest_gas_kWh)/1000)*0.902</f>
        <v>46052.337050503593</v>
      </c>
      <c r="E5" s="17">
        <f>B46*B57</f>
        <v>10968.060229199682</v>
      </c>
      <c r="F5" s="17">
        <f>B51*B62</f>
        <v>46658.459013964173</v>
      </c>
      <c r="G5" s="18"/>
      <c r="H5" s="17"/>
      <c r="I5" s="17"/>
      <c r="J5" s="17">
        <f>B50*B61+C50*C61</f>
        <v>0</v>
      </c>
      <c r="K5" s="17"/>
      <c r="L5" s="17"/>
      <c r="M5" s="17"/>
      <c r="N5" s="17">
        <f>B48*B59+C48*C59</f>
        <v>10827.914406674088</v>
      </c>
      <c r="O5" s="17">
        <f>B69*B70*B71</f>
        <v>395.52333333333337</v>
      </c>
      <c r="P5" s="17">
        <f>B77*B78*B79/1000-B77*B78*B79/1000/B80</f>
        <v>2021.0666666666666</v>
      </c>
    </row>
    <row r="6" spans="1:16">
      <c r="A6" s="16" t="s">
        <v>621</v>
      </c>
      <c r="B6" s="788">
        <f>kWh_PV_kleiner_dan_10kW</f>
        <v>3909.3479837519717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29894.927974566774</v>
      </c>
      <c r="C8" s="21">
        <f>C5</f>
        <v>0</v>
      </c>
      <c r="D8" s="21">
        <f>D5</f>
        <v>46052.337050503593</v>
      </c>
      <c r="E8" s="21">
        <f>E5</f>
        <v>10968.060229199682</v>
      </c>
      <c r="F8" s="21">
        <f>F5</f>
        <v>46658.459013964173</v>
      </c>
      <c r="G8" s="21"/>
      <c r="H8" s="21"/>
      <c r="I8" s="21"/>
      <c r="J8" s="21">
        <f>J5</f>
        <v>0</v>
      </c>
      <c r="K8" s="21"/>
      <c r="L8" s="21">
        <f>L5</f>
        <v>0</v>
      </c>
      <c r="M8" s="21">
        <f>M5</f>
        <v>0</v>
      </c>
      <c r="N8" s="21">
        <f>N5</f>
        <v>10827.914406674088</v>
      </c>
      <c r="O8" s="21">
        <f>O5</f>
        <v>395.52333333333337</v>
      </c>
      <c r="P8" s="21">
        <f>P5</f>
        <v>2021.0666666666666</v>
      </c>
    </row>
    <row r="9" spans="1:16">
      <c r="B9" s="19"/>
      <c r="C9" s="19"/>
      <c r="D9" s="258"/>
      <c r="E9" s="19"/>
      <c r="F9" s="19"/>
      <c r="G9" s="19"/>
      <c r="H9" s="19"/>
      <c r="I9" s="19"/>
      <c r="J9" s="19"/>
      <c r="K9" s="19"/>
      <c r="L9" s="19"/>
      <c r="M9" s="19"/>
      <c r="N9" s="19"/>
      <c r="O9" s="19"/>
      <c r="P9" s="19"/>
    </row>
    <row r="10" spans="1:16">
      <c r="A10" s="24" t="s">
        <v>214</v>
      </c>
      <c r="B10" s="25">
        <f ca="1">'EF ele_warmte'!B12</f>
        <v>0.20903297383441052</v>
      </c>
      <c r="C10" s="25">
        <f ca="1">'EF ele_warmte'!B22</f>
        <v>0.18661854926019486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6249.0256970892033</v>
      </c>
      <c r="C12" s="23">
        <f ca="1">C10*C8</f>
        <v>0</v>
      </c>
      <c r="D12" s="23">
        <f>D8*D10</f>
        <v>9302.5720842017272</v>
      </c>
      <c r="E12" s="23">
        <f>E10*E8</f>
        <v>2489.749672028328</v>
      </c>
      <c r="F12" s="23">
        <f>F10*F8</f>
        <v>12457.808556728434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793</v>
      </c>
      <c r="B28" s="37">
        <f>aantalHuishoudens2011</f>
        <v>6527</v>
      </c>
      <c r="C28" s="36"/>
      <c r="D28" s="228"/>
    </row>
    <row r="29" spans="1:7" s="15" customFormat="1">
      <c r="A29" s="230" t="s">
        <v>794</v>
      </c>
      <c r="B29" s="37">
        <f>SUM(HH_hh_gas_aantal,HH_rest_gas_aantal)</f>
        <v>2966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2966</v>
      </c>
      <c r="C32" s="167">
        <f>IF(ISERROR(B32/SUM($B$32,$B$34,$B$35,$B$36,$B$38,$B$39)*100),0,B32/SUM($B$32,$B$34,$B$35,$B$36,$B$38,$B$39)*100)</f>
        <v>46.192181903130354</v>
      </c>
      <c r="D32" s="233"/>
      <c r="G32" s="15"/>
    </row>
    <row r="33" spans="1:7">
      <c r="A33" s="171" t="s">
        <v>72</v>
      </c>
      <c r="B33" s="34" t="s">
        <v>111</v>
      </c>
      <c r="C33" s="167"/>
      <c r="D33" s="233"/>
      <c r="G33" s="15"/>
    </row>
    <row r="34" spans="1:7">
      <c r="A34" s="171" t="s">
        <v>73</v>
      </c>
      <c r="B34" s="33">
        <f>IF((($B$28-$B$32-$B$39-$B$77-$B$38)*C20/100)&lt;0,0,($B$28-$B$32-$B$39-$B$77-$B$38)*C20/100)</f>
        <v>518.01044776119409</v>
      </c>
      <c r="C34" s="167">
        <f>IF(ISERROR(B34/SUM($B$32,$B$34,$B$35,$B$36,$B$38,$B$39)*100),0,B34/SUM($B$32,$B$34,$B$35,$B$36,$B$38,$B$39)*100)</f>
        <v>8.0674419523624685</v>
      </c>
      <c r="D34" s="233"/>
      <c r="G34" s="15"/>
    </row>
    <row r="35" spans="1:7">
      <c r="A35" s="171" t="s">
        <v>74</v>
      </c>
      <c r="B35" s="33">
        <f>IF((($B$28-$B$32-$B$39-$B$77-$B$38)*C21/100)&lt;0,0,($B$28-$B$32-$B$39-$B$77-$B$38)*C21/100)</f>
        <v>984.63097014925381</v>
      </c>
      <c r="C35" s="167">
        <f>IF(ISERROR(B35/SUM($B$32,$B$34,$B$35,$B$36,$B$38,$B$39)*100),0,B35/SUM($B$32,$B$34,$B$35,$B$36,$B$38,$B$39)*100)</f>
        <v>15.334542441196913</v>
      </c>
      <c r="D35" s="233"/>
      <c r="G35" s="15"/>
    </row>
    <row r="36" spans="1:7">
      <c r="A36" s="171" t="s">
        <v>75</v>
      </c>
      <c r="B36" s="33">
        <f>IF((($B$28-$B$32-$B$39-$B$77-$B$38)*C22/100)&lt;0,0,($B$28-$B$32-$B$39-$B$77-$B$38)*C22/100)</f>
        <v>150.05858208955223</v>
      </c>
      <c r="C36" s="167">
        <f>IF(ISERROR(B36/SUM($B$32,$B$34,$B$35,$B$36,$B$38,$B$39)*100),0,B36/SUM($B$32,$B$34,$B$35,$B$36,$B$38,$B$39)*100)</f>
        <v>2.3369970735018257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1802.3</v>
      </c>
      <c r="C39" s="167">
        <f>IF(ISERROR(B39/SUM($B$32,$B$34,$B$35,$B$36,$B$38,$B$39)*100),0,B39/SUM($B$32,$B$34,$B$35,$B$36,$B$38,$B$39)*100)</f>
        <v>28.068836629808441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2966</v>
      </c>
      <c r="C44" s="34" t="s">
        <v>111</v>
      </c>
      <c r="D44" s="174"/>
    </row>
    <row r="45" spans="1:7">
      <c r="A45" s="171" t="s">
        <v>72</v>
      </c>
      <c r="B45" s="33" t="str">
        <f t="shared" si="0"/>
        <v>-</v>
      </c>
      <c r="C45" s="34" t="s">
        <v>111</v>
      </c>
      <c r="D45" s="174"/>
    </row>
    <row r="46" spans="1:7">
      <c r="A46" s="171" t="s">
        <v>73</v>
      </c>
      <c r="B46" s="33">
        <f t="shared" si="0"/>
        <v>518.01044776119409</v>
      </c>
      <c r="C46" s="34" t="s">
        <v>111</v>
      </c>
      <c r="D46" s="174"/>
    </row>
    <row r="47" spans="1:7">
      <c r="A47" s="171" t="s">
        <v>74</v>
      </c>
      <c r="B47" s="33">
        <f t="shared" si="0"/>
        <v>984.63097014925381</v>
      </c>
      <c r="C47" s="34" t="s">
        <v>111</v>
      </c>
      <c r="D47" s="174"/>
    </row>
    <row r="48" spans="1:7">
      <c r="A48" s="171" t="s">
        <v>75</v>
      </c>
      <c r="B48" s="33">
        <f t="shared" si="0"/>
        <v>150.05858208955223</v>
      </c>
      <c r="C48" s="33">
        <f>B48*10</f>
        <v>1500.5858208955224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1802.3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14806.799827329658</v>
      </c>
      <c r="C5" s="17">
        <f>IF(ISERROR('Eigen informatie GS &amp; warmtenet'!B58),0,'Eigen informatie GS &amp; warmtenet'!B58)</f>
        <v>0</v>
      </c>
      <c r="D5" s="30">
        <f>SUM(D6:D12)</f>
        <v>14616.390161055202</v>
      </c>
      <c r="E5" s="17">
        <f>SUM(E6:E12)</f>
        <v>172.75076522714608</v>
      </c>
      <c r="F5" s="17">
        <f>SUM(F6:F12)</f>
        <v>2658.9187769111631</v>
      </c>
      <c r="G5" s="18"/>
      <c r="H5" s="17"/>
      <c r="I5" s="17"/>
      <c r="J5" s="17">
        <f>SUM(J6:J12)</f>
        <v>5.9338356549098623E-2</v>
      </c>
      <c r="K5" s="17"/>
      <c r="L5" s="17"/>
      <c r="M5" s="17"/>
      <c r="N5" s="17">
        <f>SUM(N6:N12)</f>
        <v>2346.6402011447708</v>
      </c>
      <c r="O5" s="17">
        <f>B38*B39*B40</f>
        <v>1.5633333333333335</v>
      </c>
      <c r="P5" s="17">
        <f>B46*B47*B48/1000-B46*B47*B48/1000/B49</f>
        <v>19.066666666666666</v>
      </c>
      <c r="R5" s="32"/>
    </row>
    <row r="6" spans="1:18">
      <c r="A6" s="32" t="s">
        <v>54</v>
      </c>
      <c r="B6" s="37">
        <f>B26</f>
        <v>1902.28514193759</v>
      </c>
      <c r="C6" s="33"/>
      <c r="D6" s="37">
        <f>IF(ISERROR(TER_kantoor_gas_kWh/1000),0,TER_kantoor_gas_kWh/1000)*0.902</f>
        <v>1917.1059181403616</v>
      </c>
      <c r="E6" s="33">
        <f>$C$26*'E Balans VL '!I12/100/3.6*1000000</f>
        <v>1.1922890579538589E-2</v>
      </c>
      <c r="F6" s="33">
        <f>$C$26*('E Balans VL '!L12+'E Balans VL '!N12)/100/3.6*1000000</f>
        <v>285.86030191676969</v>
      </c>
      <c r="G6" s="34"/>
      <c r="H6" s="33"/>
      <c r="I6" s="33"/>
      <c r="J6" s="33">
        <f>$C$26*('E Balans VL '!D12+'E Balans VL '!E12)/100/3.6*1000000</f>
        <v>0</v>
      </c>
      <c r="K6" s="33"/>
      <c r="L6" s="33"/>
      <c r="M6" s="33"/>
      <c r="N6" s="33">
        <f>$C$26*'E Balans VL '!Y12/100/3.6*1000000</f>
        <v>1.8192536935382493</v>
      </c>
      <c r="O6" s="33"/>
      <c r="P6" s="33"/>
      <c r="R6" s="32"/>
    </row>
    <row r="7" spans="1:18">
      <c r="A7" s="32" t="s">
        <v>53</v>
      </c>
      <c r="B7" s="37">
        <f t="shared" ref="B7:B12" si="0">B27</f>
        <v>802.182533572034</v>
      </c>
      <c r="C7" s="33"/>
      <c r="D7" s="37">
        <f>IF(ISERROR(TER_horeca_gas_kWh/1000),0,TER_horeca_gas_kWh/1000)*0.902</f>
        <v>1169.3585557682106</v>
      </c>
      <c r="E7" s="33">
        <f>$C$27*'E Balans VL '!I9/100/3.6*1000000</f>
        <v>11.48712026264888</v>
      </c>
      <c r="F7" s="33">
        <f>$C$27*('E Balans VL '!L9+'E Balans VL '!N9)/100/3.6*1000000</f>
        <v>101.58276574945546</v>
      </c>
      <c r="G7" s="34"/>
      <c r="H7" s="33"/>
      <c r="I7" s="33"/>
      <c r="J7" s="33">
        <f>$C$27*('E Balans VL '!D9+'E Balans VL '!E9)/100/3.6*1000000</f>
        <v>0</v>
      </c>
      <c r="K7" s="33"/>
      <c r="L7" s="33"/>
      <c r="M7" s="33"/>
      <c r="N7" s="33">
        <f>$C$27*'E Balans VL '!Y9/100/3.6*1000000</f>
        <v>0.23060979179530697</v>
      </c>
      <c r="O7" s="33"/>
      <c r="P7" s="33"/>
      <c r="R7" s="32"/>
    </row>
    <row r="8" spans="1:18">
      <c r="A8" s="6" t="s">
        <v>52</v>
      </c>
      <c r="B8" s="37">
        <f t="shared" si="0"/>
        <v>1377.86648468873</v>
      </c>
      <c r="C8" s="33"/>
      <c r="D8" s="37">
        <f>IF(ISERROR(TER_handel_gas_kWh/1000),0,TER_handel_gas_kWh/1000)*0.902</f>
        <v>578.94655021489325</v>
      </c>
      <c r="E8" s="33">
        <f>$C$28*'E Balans VL '!I13/100/3.6*1000000</f>
        <v>49.975047488777612</v>
      </c>
      <c r="F8" s="33">
        <f>$C$28*('E Balans VL '!L13+'E Balans VL '!N13)/100/3.6*1000000</f>
        <v>265.39103673623373</v>
      </c>
      <c r="G8" s="34"/>
      <c r="H8" s="33"/>
      <c r="I8" s="33"/>
      <c r="J8" s="33">
        <f>$C$28*('E Balans VL '!D13+'E Balans VL '!E13)/100/3.6*1000000</f>
        <v>0</v>
      </c>
      <c r="K8" s="33"/>
      <c r="L8" s="33"/>
      <c r="M8" s="33"/>
      <c r="N8" s="33">
        <f>$C$28*'E Balans VL '!Y13/100/3.6*1000000</f>
        <v>1.9086621142327727</v>
      </c>
      <c r="O8" s="33"/>
      <c r="P8" s="33"/>
      <c r="R8" s="32"/>
    </row>
    <row r="9" spans="1:18">
      <c r="A9" s="32" t="s">
        <v>51</v>
      </c>
      <c r="B9" s="37">
        <f t="shared" si="0"/>
        <v>182.95870987504401</v>
      </c>
      <c r="C9" s="33"/>
      <c r="D9" s="37">
        <f>IF(ISERROR(TER_gezond_gas_kWh/1000),0,TER_gezond_gas_kWh/1000)*0.902</f>
        <v>208.25748579401738</v>
      </c>
      <c r="E9" s="33">
        <f>$C$29*'E Balans VL '!I10/100/3.6*1000000</f>
        <v>1.1455021629094382E-2</v>
      </c>
      <c r="F9" s="33">
        <f>$C$29*('E Balans VL '!L10+'E Balans VL '!N10)/100/3.6*1000000</f>
        <v>27.179073408158125</v>
      </c>
      <c r="G9" s="34"/>
      <c r="H9" s="33"/>
      <c r="I9" s="33"/>
      <c r="J9" s="33">
        <f>$C$29*('E Balans VL '!D10+'E Balans VL '!E10)/100/3.6*1000000</f>
        <v>0</v>
      </c>
      <c r="K9" s="33"/>
      <c r="L9" s="33"/>
      <c r="M9" s="33"/>
      <c r="N9" s="33">
        <f>$C$29*'E Balans VL '!Y10/100/3.6*1000000</f>
        <v>2.8300229783536159</v>
      </c>
      <c r="O9" s="33"/>
      <c r="P9" s="33"/>
      <c r="R9" s="32"/>
    </row>
    <row r="10" spans="1:18">
      <c r="A10" s="32" t="s">
        <v>50</v>
      </c>
      <c r="B10" s="37">
        <f t="shared" si="0"/>
        <v>1757.6616725127299</v>
      </c>
      <c r="C10" s="33"/>
      <c r="D10" s="37">
        <f>IF(ISERROR(TER_ander_gas_kWh/1000),0,TER_ander_gas_kWh/1000)*0.902</f>
        <v>1569.5397027913907</v>
      </c>
      <c r="E10" s="33">
        <f>$C$30*'E Balans VL '!I14/100/3.6*1000000</f>
        <v>2.0950699054197224</v>
      </c>
      <c r="F10" s="33">
        <f>$C$30*('E Balans VL '!L14+'E Balans VL '!N14)/100/3.6*1000000</f>
        <v>459.88243302996818</v>
      </c>
      <c r="G10" s="34"/>
      <c r="H10" s="33"/>
      <c r="I10" s="33"/>
      <c r="J10" s="33">
        <f>$C$30*('E Balans VL '!D14+'E Balans VL '!E14)/100/3.6*1000000</f>
        <v>3.8151945066737199E-2</v>
      </c>
      <c r="K10" s="33"/>
      <c r="L10" s="33"/>
      <c r="M10" s="33"/>
      <c r="N10" s="33">
        <f>$C$30*'E Balans VL '!Y14/100/3.6*1000000</f>
        <v>1492.563282922084</v>
      </c>
      <c r="O10" s="33"/>
      <c r="P10" s="33"/>
      <c r="R10" s="32"/>
    </row>
    <row r="11" spans="1:18">
      <c r="A11" s="32" t="s">
        <v>55</v>
      </c>
      <c r="B11" s="37">
        <f t="shared" si="0"/>
        <v>34.644094164578497</v>
      </c>
      <c r="C11" s="33"/>
      <c r="D11" s="37">
        <f>IF(ISERROR(TER_onderwijs_gas_kWh/1000),0,TER_onderwijs_gas_kWh/1000)*0.902</f>
        <v>48.177123937308167</v>
      </c>
      <c r="E11" s="33">
        <f>$C$31*'E Balans VL '!I11/100/3.6*1000000</f>
        <v>0.52272358132386887</v>
      </c>
      <c r="F11" s="33">
        <f>$C$31*('E Balans VL '!L11+'E Balans VL '!N11)/100/3.6*1000000</f>
        <v>6.0701987535035604</v>
      </c>
      <c r="G11" s="34"/>
      <c r="H11" s="33"/>
      <c r="I11" s="33"/>
      <c r="J11" s="33">
        <f>$C$31*('E Balans VL '!D11+'E Balans VL '!E11)/100/3.6*1000000</f>
        <v>0</v>
      </c>
      <c r="K11" s="33"/>
      <c r="L11" s="33"/>
      <c r="M11" s="33"/>
      <c r="N11" s="33">
        <f>$C$31*'E Balans VL '!Y11/100/3.6*1000000</f>
        <v>9.7491114723460212E-2</v>
      </c>
      <c r="O11" s="33"/>
      <c r="P11" s="33"/>
      <c r="R11" s="32"/>
    </row>
    <row r="12" spans="1:18">
      <c r="A12" s="32" t="s">
        <v>260</v>
      </c>
      <c r="B12" s="37">
        <f t="shared" si="0"/>
        <v>8749.2011905789514</v>
      </c>
      <c r="C12" s="33"/>
      <c r="D12" s="37">
        <f>IF(ISERROR(TER_rest_gas_kWh/1000),0,TER_rest_gas_kWh/1000)*0.902</f>
        <v>9125.0048244090212</v>
      </c>
      <c r="E12" s="33">
        <f>$C$32*'E Balans VL '!I8/100/3.6*1000000</f>
        <v>108.64742607676735</v>
      </c>
      <c r="F12" s="33">
        <f>$C$32*('E Balans VL '!L8+'E Balans VL '!N8)/100/3.6*1000000</f>
        <v>1512.9529673170746</v>
      </c>
      <c r="G12" s="34"/>
      <c r="H12" s="33"/>
      <c r="I12" s="33"/>
      <c r="J12" s="33">
        <f>$C$32*('E Balans VL '!D8+'E Balans VL '!E8)/100/3.6*1000000</f>
        <v>2.1186411482361427E-2</v>
      </c>
      <c r="K12" s="33"/>
      <c r="L12" s="33"/>
      <c r="M12" s="33"/>
      <c r="N12" s="33">
        <f>$C$32*'E Balans VL '!Y8/100/3.6*1000000</f>
        <v>847.19087853004339</v>
      </c>
      <c r="O12" s="33"/>
      <c r="P12" s="33"/>
      <c r="R12" s="32"/>
    </row>
    <row r="13" spans="1:18">
      <c r="A13" s="16" t="s">
        <v>488</v>
      </c>
      <c r="B13" s="247">
        <f ca="1">'lokale energieproductie'!N91+'lokale energieproductie'!N60</f>
        <v>189</v>
      </c>
      <c r="C13" s="247">
        <f ca="1">'lokale energieproductie'!O91+'lokale energieproductie'!O60</f>
        <v>256.33928571428572</v>
      </c>
      <c r="D13" s="310">
        <f ca="1">('lokale energieproductie'!P60+'lokale energieproductie'!P91)*(-1)</f>
        <v>-411.42857142857144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-112.5</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14995.799827329658</v>
      </c>
      <c r="C16" s="21">
        <f t="shared" ca="1" si="1"/>
        <v>256.33928571428572</v>
      </c>
      <c r="D16" s="21">
        <f t="shared" ca="1" si="1"/>
        <v>14204.961589626631</v>
      </c>
      <c r="E16" s="21">
        <f t="shared" si="1"/>
        <v>172.75076522714608</v>
      </c>
      <c r="F16" s="21">
        <f t="shared" ca="1" si="1"/>
        <v>2658.9187769111631</v>
      </c>
      <c r="G16" s="21">
        <f t="shared" si="1"/>
        <v>0</v>
      </c>
      <c r="H16" s="21">
        <f t="shared" si="1"/>
        <v>0</v>
      </c>
      <c r="I16" s="21">
        <f t="shared" si="1"/>
        <v>0</v>
      </c>
      <c r="J16" s="21">
        <f t="shared" si="1"/>
        <v>5.9338356549098623E-2</v>
      </c>
      <c r="K16" s="21">
        <f t="shared" si="1"/>
        <v>0</v>
      </c>
      <c r="L16" s="21">
        <f t="shared" ca="1" si="1"/>
        <v>0</v>
      </c>
      <c r="M16" s="21">
        <f t="shared" si="1"/>
        <v>0</v>
      </c>
      <c r="N16" s="21">
        <f t="shared" ca="1" si="1"/>
        <v>2346.6402011447708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0.20903297383441052</v>
      </c>
      <c r="C18" s="25">
        <f ca="1">'EF ele_warmte'!B22</f>
        <v>0.18661854926019486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3134.6166329322582</v>
      </c>
      <c r="C20" s="23">
        <f t="shared" ref="C20:P20" ca="1" si="2">C16*C18</f>
        <v>47.837665618394595</v>
      </c>
      <c r="D20" s="23">
        <f t="shared" ca="1" si="2"/>
        <v>2869.4022411045798</v>
      </c>
      <c r="E20" s="23">
        <f t="shared" si="2"/>
        <v>39.214423706562158</v>
      </c>
      <c r="F20" s="23">
        <f t="shared" ca="1" si="2"/>
        <v>709.93131343528057</v>
      </c>
      <c r="G20" s="23">
        <f t="shared" si="2"/>
        <v>0</v>
      </c>
      <c r="H20" s="23">
        <f t="shared" si="2"/>
        <v>0</v>
      </c>
      <c r="I20" s="23">
        <f t="shared" si="2"/>
        <v>0</v>
      </c>
      <c r="J20" s="23">
        <f t="shared" si="2"/>
        <v>2.100577821838091E-2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1902.28514193759</v>
      </c>
      <c r="C26" s="39">
        <f>IF(ISERROR(B26*3.6/1000000/'E Balans VL '!Z12*100),0,B26*3.6/1000000/'E Balans VL '!Z12*100)</f>
        <v>4.0211294437483135E-2</v>
      </c>
      <c r="D26" s="237" t="s">
        <v>754</v>
      </c>
      <c r="F26" s="6"/>
    </row>
    <row r="27" spans="1:18">
      <c r="A27" s="231" t="s">
        <v>53</v>
      </c>
      <c r="B27" s="33">
        <f>IF(ISERROR(TER_horeca_ele_kWh/1000),0,TER_horeca_ele_kWh/1000)</f>
        <v>802.182533572034</v>
      </c>
      <c r="C27" s="39">
        <f>IF(ISERROR(B27*3.6/1000000/'E Balans VL '!Z9*100),0,B27*3.6/1000000/'E Balans VL '!Z9*100)</f>
        <v>6.3235750132789259E-2</v>
      </c>
      <c r="D27" s="237" t="s">
        <v>754</v>
      </c>
      <c r="F27" s="6"/>
    </row>
    <row r="28" spans="1:18">
      <c r="A28" s="171" t="s">
        <v>52</v>
      </c>
      <c r="B28" s="33">
        <f>IF(ISERROR(TER_handel_ele_kWh/1000),0,TER_handel_ele_kWh/1000)</f>
        <v>1377.86648468873</v>
      </c>
      <c r="C28" s="39">
        <f>IF(ISERROR(B28*3.6/1000000/'E Balans VL '!Z13*100),0,B28*3.6/1000000/'E Balans VL '!Z13*100)</f>
        <v>3.9991252590104331E-2</v>
      </c>
      <c r="D28" s="237" t="s">
        <v>754</v>
      </c>
      <c r="F28" s="6"/>
    </row>
    <row r="29" spans="1:18">
      <c r="A29" s="231" t="s">
        <v>51</v>
      </c>
      <c r="B29" s="33">
        <f>IF(ISERROR(TER_gezond_ele_kWh/1000),0,TER_gezond_ele_kWh/1000)</f>
        <v>182.95870987504401</v>
      </c>
      <c r="C29" s="39">
        <f>IF(ISERROR(B29*3.6/1000000/'E Balans VL '!Z10*100),0,B29*3.6/1000000/'E Balans VL '!Z10*100)</f>
        <v>1.9268556411159168E-2</v>
      </c>
      <c r="D29" s="237" t="s">
        <v>754</v>
      </c>
      <c r="F29" s="6"/>
    </row>
    <row r="30" spans="1:18">
      <c r="A30" s="231" t="s">
        <v>50</v>
      </c>
      <c r="B30" s="33">
        <f>IF(ISERROR(TER_ander_ele_kWh/1000),0,TER_ander_ele_kWh/1000)</f>
        <v>1757.6616725127299</v>
      </c>
      <c r="C30" s="39">
        <f>IF(ISERROR(B30*3.6/1000000/'E Balans VL '!Z14*100),0,B30*3.6/1000000/'E Balans VL '!Z14*100)</f>
        <v>0.12964550672675521</v>
      </c>
      <c r="D30" s="237" t="s">
        <v>754</v>
      </c>
      <c r="F30" s="6"/>
    </row>
    <row r="31" spans="1:18">
      <c r="A31" s="231" t="s">
        <v>55</v>
      </c>
      <c r="B31" s="33">
        <f>IF(ISERROR(TER_onderwijs_ele_kWh/1000),0,TER_onderwijs_ele_kWh/1000)</f>
        <v>34.644094164578497</v>
      </c>
      <c r="C31" s="39">
        <f>IF(ISERROR(B31*3.6/1000000/'E Balans VL '!Z11*100),0,B31*3.6/1000000/'E Balans VL '!Z11*100)</f>
        <v>8.6037514060070142E-3</v>
      </c>
      <c r="D31" s="237" t="s">
        <v>754</v>
      </c>
    </row>
    <row r="32" spans="1:18">
      <c r="A32" s="231" t="s">
        <v>260</v>
      </c>
      <c r="B32" s="33">
        <f>IF(ISERROR(TER_rest_ele_kWh/1000),0,TER_rest_ele_kWh/1000)</f>
        <v>8749.2011905789514</v>
      </c>
      <c r="C32" s="39">
        <f>IF(ISERROR(B32*3.6/1000000/'E Balans VL '!Z8*100),0,B32*3.6/1000000/'E Balans VL '!Z8*100)</f>
        <v>7.199431241441541E-2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45816.433057946255</v>
      </c>
      <c r="C5" s="17">
        <f>IF(ISERROR('Eigen informatie GS &amp; warmtenet'!B59),0,'Eigen informatie GS &amp; warmtenet'!B59)</f>
        <v>0</v>
      </c>
      <c r="D5" s="30">
        <f>SUM(D6:D15)</f>
        <v>37805.315810252869</v>
      </c>
      <c r="E5" s="17">
        <f>SUM(E6:E15)</f>
        <v>2906.0896691857711</v>
      </c>
      <c r="F5" s="17">
        <f>SUM(F6:F15)</f>
        <v>10035.548438927539</v>
      </c>
      <c r="G5" s="18"/>
      <c r="H5" s="17"/>
      <c r="I5" s="17"/>
      <c r="J5" s="17">
        <f>SUM(J6:J15)</f>
        <v>158.06877000750001</v>
      </c>
      <c r="K5" s="17"/>
      <c r="L5" s="17"/>
      <c r="M5" s="17"/>
      <c r="N5" s="17">
        <f>SUM(N6:N15)</f>
        <v>10499.110005856044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41.134800005450501</v>
      </c>
      <c r="C8" s="33"/>
      <c r="D8" s="37">
        <f>IF( ISERROR(IND_metaal_Gas_kWH/1000),0,IND_metaal_Gas_kWH/1000)*0.902</f>
        <v>0</v>
      </c>
      <c r="E8" s="33">
        <f>C30*'E Balans VL '!I18/100/3.6*1000000</f>
        <v>0.37819475768245431</v>
      </c>
      <c r="F8" s="33">
        <f>C30*'E Balans VL '!L18/100/3.6*1000000+C30*'E Balans VL '!N18/100/3.6*1000000</f>
        <v>3.8570747243903765</v>
      </c>
      <c r="G8" s="34"/>
      <c r="H8" s="33"/>
      <c r="I8" s="33"/>
      <c r="J8" s="40">
        <f>C30*'E Balans VL '!D18/100/3.6*1000000+C30*'E Balans VL '!E18/100/3.6*1000000</f>
        <v>0</v>
      </c>
      <c r="K8" s="33"/>
      <c r="L8" s="33"/>
      <c r="M8" s="33"/>
      <c r="N8" s="33">
        <f>C30*'E Balans VL '!Y18/100/3.6*1000000</f>
        <v>0.58685590019739042</v>
      </c>
      <c r="O8" s="33"/>
      <c r="P8" s="33"/>
      <c r="R8" s="32"/>
    </row>
    <row r="9" spans="1:18">
      <c r="A9" s="6" t="s">
        <v>33</v>
      </c>
      <c r="B9" s="37">
        <f t="shared" si="0"/>
        <v>1600.1501217650598</v>
      </c>
      <c r="C9" s="33"/>
      <c r="D9" s="37">
        <f>IF( ISERROR(IND_andere_gas_kWh/1000),0,IND_andere_gas_kWh/1000)*0.902</f>
        <v>308.24997947176809</v>
      </c>
      <c r="E9" s="33">
        <f>C31*'E Balans VL '!I19/100/3.6*1000000</f>
        <v>467.75503184052923</v>
      </c>
      <c r="F9" s="33">
        <f>C31*'E Balans VL '!L19/100/3.6*1000000+C31*'E Balans VL '!N19/100/3.6*1000000</f>
        <v>1285.8417430731988</v>
      </c>
      <c r="G9" s="34"/>
      <c r="H9" s="33"/>
      <c r="I9" s="33"/>
      <c r="J9" s="40">
        <f>C31*'E Balans VL '!D19/100/3.6*1000000+C31*'E Balans VL '!E19/100/3.6*1000000</f>
        <v>0</v>
      </c>
      <c r="K9" s="33"/>
      <c r="L9" s="33"/>
      <c r="M9" s="33"/>
      <c r="N9" s="33">
        <f>C31*'E Balans VL '!Y19/100/3.6*1000000</f>
        <v>528.71441680006819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22.602345406244801</v>
      </c>
      <c r="C13" s="33"/>
      <c r="D13" s="37">
        <f>IF( ISERROR(IND_papier_gas_kWh/1000),0,IND_papier_gas_kWh/1000)*0.902</f>
        <v>0</v>
      </c>
      <c r="E13" s="33">
        <f>C35*'E Balans VL '!I23/100/3.6*1000000</f>
        <v>3.2067559015194709E-2</v>
      </c>
      <c r="F13" s="33">
        <f>C35*'E Balans VL '!L23/100/3.6*1000000+C35*'E Balans VL '!N23/100/3.6*1000000</f>
        <v>0.55180824166486242</v>
      </c>
      <c r="G13" s="34"/>
      <c r="H13" s="33"/>
      <c r="I13" s="33"/>
      <c r="J13" s="40">
        <f>C35*'E Balans VL '!D23/100/3.6*1000000+C35*'E Balans VL '!E23/100/3.6*1000000</f>
        <v>3.495664920825588E-3</v>
      </c>
      <c r="K13" s="33"/>
      <c r="L13" s="33"/>
      <c r="M13" s="33"/>
      <c r="N13" s="33">
        <f>C35*'E Balans VL '!Y23/100/3.6*1000000</f>
        <v>65.699667753299352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44152.545790769502</v>
      </c>
      <c r="C15" s="33"/>
      <c r="D15" s="37">
        <f>IF( ISERROR(IND_rest_gas_kWh/1000),0,IND_rest_gas_kWh/1000)*0.902</f>
        <v>37497.065830781103</v>
      </c>
      <c r="E15" s="33">
        <f>C37*'E Balans VL '!I15/100/3.6*1000000</f>
        <v>2437.9243750285441</v>
      </c>
      <c r="F15" s="33">
        <f>C37*'E Balans VL '!L15/100/3.6*1000000+C37*'E Balans VL '!N15/100/3.6*1000000</f>
        <v>8745.2978128882842</v>
      </c>
      <c r="G15" s="34"/>
      <c r="H15" s="33"/>
      <c r="I15" s="33"/>
      <c r="J15" s="40">
        <f>C37*'E Balans VL '!D15/100/3.6*1000000+C37*'E Balans VL '!E15/100/3.6*1000000</f>
        <v>158.06527434257919</v>
      </c>
      <c r="K15" s="33"/>
      <c r="L15" s="33"/>
      <c r="M15" s="33"/>
      <c r="N15" s="33">
        <f>C37*'E Balans VL '!Y15/100/3.6*1000000</f>
        <v>9904.1090654024792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45816.433057946255</v>
      </c>
      <c r="C18" s="21">
        <f>C5+C16</f>
        <v>0</v>
      </c>
      <c r="D18" s="21">
        <f>MAX((D5+D16),0)</f>
        <v>37805.315810252869</v>
      </c>
      <c r="E18" s="21">
        <f>MAX((E5+E16),0)</f>
        <v>2906.0896691857711</v>
      </c>
      <c r="F18" s="21">
        <f>MAX((F5+F16),0)</f>
        <v>10035.548438927539</v>
      </c>
      <c r="G18" s="21"/>
      <c r="H18" s="21"/>
      <c r="I18" s="21"/>
      <c r="J18" s="21">
        <f>MAX((J5+J16),0)</f>
        <v>158.06877000750001</v>
      </c>
      <c r="K18" s="21"/>
      <c r="L18" s="21">
        <f>MAX((L5+L16),0)</f>
        <v>0</v>
      </c>
      <c r="M18" s="21"/>
      <c r="N18" s="21">
        <f>MAX((N5+N16),0)</f>
        <v>10499.110005856044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0.20903297383441052</v>
      </c>
      <c r="C20" s="25">
        <f ca="1">'EF ele_warmte'!B22</f>
        <v>0.18661854926019486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9577.1452525877012</v>
      </c>
      <c r="C22" s="23">
        <f ca="1">C18*C20</f>
        <v>0</v>
      </c>
      <c r="D22" s="23">
        <f>D18*D20</f>
        <v>7636.6737936710797</v>
      </c>
      <c r="E22" s="23">
        <f>E18*E20</f>
        <v>659.68235490517009</v>
      </c>
      <c r="F22" s="23">
        <f>F18*F20</f>
        <v>2679.4914331936529</v>
      </c>
      <c r="G22" s="23"/>
      <c r="H22" s="23"/>
      <c r="I22" s="23"/>
      <c r="J22" s="23">
        <f>J18*J20</f>
        <v>55.956344582654999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41.134800005450501</v>
      </c>
      <c r="C30" s="39">
        <f>IF(ISERROR(B30*3.6/1000000/'E Balans VL '!Z18*100),0,B30*3.6/1000000/'E Balans VL '!Z18*100)</f>
        <v>2.3312145928347698E-3</v>
      </c>
      <c r="D30" s="237" t="s">
        <v>754</v>
      </c>
    </row>
    <row r="31" spans="1:18">
      <c r="A31" s="6" t="s">
        <v>33</v>
      </c>
      <c r="B31" s="37">
        <f>IF( ISERROR(IND_ander_ele_kWh/1000),0,IND_ander_ele_kWh/1000)</f>
        <v>1600.1501217650598</v>
      </c>
      <c r="C31" s="39">
        <f>IF(ISERROR(B31*3.6/1000000/'E Balans VL '!Z19*100),0,B31*3.6/1000000/'E Balans VL '!Z19*100)</f>
        <v>7.2576146614121984E-2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22.602345406244801</v>
      </c>
      <c r="C35" s="39">
        <f>IF(ISERROR(B35*3.6/1000000/'E Balans VL '!Z22*100),0,B35*3.6/1000000/'E Balans VL '!Z22*100)</f>
        <v>4.0654567535283216E-3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44152.545790769502</v>
      </c>
      <c r="C37" s="39">
        <f>IF(ISERROR(B37*3.6/1000000/'E Balans VL '!Z15*100),0,B37*3.6/1000000/'E Balans VL '!Z15*100)</f>
        <v>0.34996314987508875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624.63522682895996</v>
      </c>
      <c r="C5" s="17">
        <f>'Eigen informatie GS &amp; warmtenet'!B60</f>
        <v>0</v>
      </c>
      <c r="D5" s="30">
        <f>IF(ISERROR(SUM(LB_lb_gas_kWh,LB_rest_gas_kWh)/1000),0,SUM(LB_lb_gas_kWh,LB_rest_gas_kWh)/1000)*0.902</f>
        <v>123.80589925421494</v>
      </c>
      <c r="E5" s="17">
        <f>B17*'E Balans VL '!I25/3.6*1000000/100</f>
        <v>18.359937172693492</v>
      </c>
      <c r="F5" s="17">
        <f>B17*('E Balans VL '!L25/3.6*1000000+'E Balans VL '!N25/3.6*1000000)/100</f>
        <v>2602.1966014534332</v>
      </c>
      <c r="G5" s="18"/>
      <c r="H5" s="17"/>
      <c r="I5" s="17"/>
      <c r="J5" s="17">
        <f>('E Balans VL '!D25+'E Balans VL '!E25)/3.6*1000000*landbouw!B17/100</f>
        <v>90.496230172469382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624.63522682895996</v>
      </c>
      <c r="C8" s="21">
        <f>C5+C6</f>
        <v>0</v>
      </c>
      <c r="D8" s="21">
        <f>MAX((D5+D6),0)</f>
        <v>123.80589925421494</v>
      </c>
      <c r="E8" s="21">
        <f>MAX((E5+E6),0)</f>
        <v>18.359937172693492</v>
      </c>
      <c r="F8" s="21">
        <f>MAX((F5+F6),0)</f>
        <v>2602.1966014534332</v>
      </c>
      <c r="G8" s="21"/>
      <c r="H8" s="21"/>
      <c r="I8" s="21"/>
      <c r="J8" s="21">
        <f>MAX((J5+J6),0)</f>
        <v>90.496230172469382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0.20903297383441052</v>
      </c>
      <c r="C10" s="31">
        <f ca="1">'EF ele_warmte'!B22</f>
        <v>0.18661854926019486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130.56935902578908</v>
      </c>
      <c r="C12" s="23">
        <f ca="1">C8*C10</f>
        <v>0</v>
      </c>
      <c r="D12" s="23">
        <f>D8*D10</f>
        <v>25.008791649351419</v>
      </c>
      <c r="E12" s="23">
        <f>E8*E10</f>
        <v>4.1677057382014224</v>
      </c>
      <c r="F12" s="23">
        <f>F8*F10</f>
        <v>694.78649258806672</v>
      </c>
      <c r="G12" s="23"/>
      <c r="H12" s="23"/>
      <c r="I12" s="23"/>
      <c r="J12" s="23">
        <f>J8*J10</f>
        <v>32.03566548105416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8.8637698420287833E-2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13.712743579570649</v>
      </c>
      <c r="C26" s="247">
        <f>B26*'GWP N2O_CH4'!B5</f>
        <v>287.96761517098361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0.86507113683392256</v>
      </c>
      <c r="C27" s="247">
        <f>B27*'GWP N2O_CH4'!B5</f>
        <v>18.166493873512373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0.18363144276638507</v>
      </c>
      <c r="C28" s="247">
        <f>B28*'GWP N2O_CH4'!B4</f>
        <v>56.925747257579374</v>
      </c>
      <c r="D28" s="50"/>
    </row>
    <row r="29" spans="1:4">
      <c r="A29" s="41" t="s">
        <v>277</v>
      </c>
      <c r="B29" s="247">
        <f>B34*'ha_N2O bodem landbouw'!B4</f>
        <v>6.1100103455715784</v>
      </c>
      <c r="C29" s="247">
        <f>B29*'GWP N2O_CH4'!B4</f>
        <v>1894.1032071271893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1.3942833048270619E-3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2.8424989558369432E-4</v>
      </c>
      <c r="C5" s="463" t="s">
        <v>211</v>
      </c>
      <c r="D5" s="448">
        <f>SUM(D6:D11)</f>
        <v>9.4919960107877341E-4</v>
      </c>
      <c r="E5" s="448">
        <f>SUM(E6:E11)</f>
        <v>1.4154800290467908E-3</v>
      </c>
      <c r="F5" s="461" t="s">
        <v>211</v>
      </c>
      <c r="G5" s="448">
        <f>SUM(G6:G11)</f>
        <v>0.48267533014100961</v>
      </c>
      <c r="H5" s="448">
        <f>SUM(H6:H11)</f>
        <v>0.10936466747366459</v>
      </c>
      <c r="I5" s="463" t="s">
        <v>211</v>
      </c>
      <c r="J5" s="463" t="s">
        <v>211</v>
      </c>
      <c r="K5" s="463" t="s">
        <v>211</v>
      </c>
      <c r="L5" s="463" t="s">
        <v>211</v>
      </c>
      <c r="M5" s="448">
        <f>SUM(M6:M11)</f>
        <v>3.1426754429819216E-2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1.2040952369031893E-4</v>
      </c>
      <c r="C6" s="449"/>
      <c r="D6" s="892">
        <f>vkm_2011_GW_PW*SUMIFS(TableVerdeelsleutelVkm[CNG],TableVerdeelsleutelVkm[Voertuigtype],"Lichte voertuigen")*SUMIFS(TableECFTransport[EnergieConsumptieFactor (PJ per km)],TableECFTransport[Index],CONCATENATE($A6,"_CNG_CNG"))</f>
        <v>3.6115946229056141E-4</v>
      </c>
      <c r="E6" s="892">
        <f>vkm_2011_GW_PW*SUMIFS(TableVerdeelsleutelVkm[LPG],TableVerdeelsleutelVkm[Voertuigtype],"Lichte voertuigen")*SUMIFS(TableECFTransport[EnergieConsumptieFactor (PJ per km)],TableECFTransport[Index],CONCATENATE($A6,"_LPG_LPG"))</f>
        <v>4.9339570348900011E-4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0.12756951131166908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4.1077733141266809E-2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8.6649716693559461E-3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5.0965568238844232E-2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1.5533269573590916E-5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2.9782558598108544E-3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3.3699318087989349E-5</v>
      </c>
      <c r="C8" s="449"/>
      <c r="D8" s="451">
        <f>vkm_2011_NGW_PW*SUMIFS(TableVerdeelsleutelVkm[CNG],TableVerdeelsleutelVkm[Voertuigtype],"Lichte voertuigen")*SUMIFS(TableECFTransport[EnergieConsumptieFactor (PJ per km)],TableECFTransport[Index],CONCATENATE($A8,"_CNG_CNG"))</f>
        <v>1.7971890554792591E-4</v>
      </c>
      <c r="E8" s="451">
        <f>vkm_2011_NGW_PW*SUMIFS(TableVerdeelsleutelVkm[LPG],TableVerdeelsleutelVkm[Voertuigtype],"Lichte voertuigen")*SUMIFS(TableECFTransport[EnergieConsumptieFactor (PJ per km)],TableECFTransport[Index],CONCATENATE($A8,"_LPG_LPG"))</f>
        <v>2.273810844460822E-4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5.4786362495870704E-2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1.9864133600821204E-2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3.7868330326078104E-3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2.9782583477403392E-3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8.5453297905556591E-7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1.7403780149557606E-4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1.3014105380538602E-4</v>
      </c>
      <c r="C10" s="449"/>
      <c r="D10" s="451">
        <f>vkm_2011_SW_PW*SUMIFS(TableVerdeelsleutelVkm[CNG],TableVerdeelsleutelVkm[Voertuigtype],"Lichte voertuigen")*SUMIFS(TableECFTransport[EnergieConsumptieFactor (PJ per km)],TableECFTransport[Index],CONCATENATE($A10,"_CNG_CNG"))</f>
        <v>4.0832123324028604E-4</v>
      </c>
      <c r="E10" s="451">
        <f>vkm_2011_SW_PW*SUMIFS(TableVerdeelsleutelVkm[LPG],TableVerdeelsleutelVkm[Voertuigtype],"Lichte voertuigen")*SUMIFS(TableECFTransport[EnergieConsumptieFactor (PJ per km)],TableECFTransport[Index],CONCATENATE($A10,"_LPG_LPG"))</f>
        <v>6.9470324111170858E-4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0.16013067106370613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4.8378027252189697E-2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1.0782729726875271E-2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8.6244958683179093E-2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2.8385676834230145E-5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5.0399263396737571E-3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78.958304328803976</v>
      </c>
      <c r="C14" s="21"/>
      <c r="D14" s="21">
        <f t="shared" ref="D14:M14" si="0">((D5)*10^9/3600)+D12</f>
        <v>263.66655585521482</v>
      </c>
      <c r="E14" s="21">
        <f t="shared" si="0"/>
        <v>393.18889695744184</v>
      </c>
      <c r="F14" s="21"/>
      <c r="G14" s="21">
        <f t="shared" si="0"/>
        <v>134076.48059472488</v>
      </c>
      <c r="H14" s="21">
        <f t="shared" si="0"/>
        <v>30379.074298240164</v>
      </c>
      <c r="I14" s="21"/>
      <c r="J14" s="21"/>
      <c r="K14" s="21"/>
      <c r="L14" s="21"/>
      <c r="M14" s="21">
        <f t="shared" si="0"/>
        <v>8729.6540082831161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0.20903297383441052</v>
      </c>
      <c r="C16" s="56">
        <f ca="1">'EF ele_warmte'!B22</f>
        <v>0.18661854926019486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16.504889162772304</v>
      </c>
      <c r="C18" s="23"/>
      <c r="D18" s="23">
        <f t="shared" ref="D18:M18" si="1">D14*D16</f>
        <v>53.260644282753397</v>
      </c>
      <c r="E18" s="23">
        <f t="shared" si="1"/>
        <v>89.253879609339307</v>
      </c>
      <c r="F18" s="23"/>
      <c r="G18" s="23">
        <f t="shared" si="1"/>
        <v>35798.420318791548</v>
      </c>
      <c r="H18" s="23">
        <f t="shared" si="1"/>
        <v>7564.389500261801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5.7947037187067582E-3</v>
      </c>
      <c r="H50" s="321">
        <f t="shared" si="2"/>
        <v>0</v>
      </c>
      <c r="I50" s="321">
        <f t="shared" si="2"/>
        <v>0</v>
      </c>
      <c r="J50" s="321">
        <f t="shared" si="2"/>
        <v>0</v>
      </c>
      <c r="K50" s="321">
        <f t="shared" si="2"/>
        <v>0</v>
      </c>
      <c r="L50" s="321">
        <f t="shared" si="2"/>
        <v>0</v>
      </c>
      <c r="M50" s="321">
        <f t="shared" si="2"/>
        <v>3.2911359006035167E-4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5.7947037187067582E-3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3.2911359006035167E-4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1609.6399218629883</v>
      </c>
      <c r="H54" s="21">
        <f t="shared" si="3"/>
        <v>0</v>
      </c>
      <c r="I54" s="21">
        <f t="shared" si="3"/>
        <v>0</v>
      </c>
      <c r="J54" s="21">
        <f t="shared" si="3"/>
        <v>0</v>
      </c>
      <c r="K54" s="21">
        <f t="shared" si="3"/>
        <v>0</v>
      </c>
      <c r="L54" s="21">
        <f t="shared" si="3"/>
        <v>0</v>
      </c>
      <c r="M54" s="21">
        <f t="shared" si="3"/>
        <v>91.420441683431008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0.20903297383441052</v>
      </c>
      <c r="C56" s="56">
        <f ca="1">'EF ele_warmte'!B22</f>
        <v>0.18661854926019486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429.7738591374179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15695.230827329658</v>
      </c>
      <c r="D10" s="1013">
        <f ca="1">tertiair!C16</f>
        <v>256.33928571428572</v>
      </c>
      <c r="E10" s="1013">
        <f ca="1">tertiair!D16</f>
        <v>14204.961589626631</v>
      </c>
      <c r="F10" s="1013">
        <f>tertiair!E16</f>
        <v>172.75076522714608</v>
      </c>
      <c r="G10" s="1013">
        <f ca="1">tertiair!F16</f>
        <v>2658.9187769111631</v>
      </c>
      <c r="H10" s="1013">
        <f>tertiair!G16</f>
        <v>0</v>
      </c>
      <c r="I10" s="1013">
        <f>tertiair!H16</f>
        <v>0</v>
      </c>
      <c r="J10" s="1013">
        <f>tertiair!I16</f>
        <v>0</v>
      </c>
      <c r="K10" s="1013">
        <f>tertiair!J16</f>
        <v>5.9338356549098623E-2</v>
      </c>
      <c r="L10" s="1013">
        <f>tertiair!K16</f>
        <v>0</v>
      </c>
      <c r="M10" s="1013">
        <f ca="1">tertiair!L16</f>
        <v>0</v>
      </c>
      <c r="N10" s="1013">
        <f>tertiair!M16</f>
        <v>0</v>
      </c>
      <c r="O10" s="1013">
        <f ca="1">tertiair!N16</f>
        <v>2346.6402011447708</v>
      </c>
      <c r="P10" s="1013">
        <f>tertiair!O16</f>
        <v>1.5633333333333335</v>
      </c>
      <c r="Q10" s="1014">
        <f>tertiair!P16</f>
        <v>19.066666666666666</v>
      </c>
      <c r="R10" s="700">
        <f ca="1">SUM(C10:Q10)</f>
        <v>35355.530784310198</v>
      </c>
      <c r="S10" s="67"/>
    </row>
    <row r="11" spans="1:19" s="473" customFormat="1">
      <c r="A11" s="809" t="s">
        <v>225</v>
      </c>
      <c r="B11" s="814"/>
      <c r="C11" s="1013">
        <f>huishoudens!B8</f>
        <v>29894.927974566774</v>
      </c>
      <c r="D11" s="1013">
        <f>huishoudens!C8</f>
        <v>0</v>
      </c>
      <c r="E11" s="1013">
        <f>huishoudens!D8</f>
        <v>46052.337050503593</v>
      </c>
      <c r="F11" s="1013">
        <f>huishoudens!E8</f>
        <v>10968.060229199682</v>
      </c>
      <c r="G11" s="1013">
        <f>huishoudens!F8</f>
        <v>46658.459013964173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10827.914406674088</v>
      </c>
      <c r="P11" s="1013">
        <f>huishoudens!O8</f>
        <v>395.52333333333337</v>
      </c>
      <c r="Q11" s="1014">
        <f>huishoudens!P8</f>
        <v>2021.0666666666666</v>
      </c>
      <c r="R11" s="700">
        <f>SUM(C11:Q11)</f>
        <v>146818.28867490834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45816.433057946255</v>
      </c>
      <c r="D13" s="1013">
        <f>industrie!C18</f>
        <v>0</v>
      </c>
      <c r="E13" s="1013">
        <f>industrie!D18</f>
        <v>37805.315810252869</v>
      </c>
      <c r="F13" s="1013">
        <f>industrie!E18</f>
        <v>2906.0896691857711</v>
      </c>
      <c r="G13" s="1013">
        <f>industrie!F18</f>
        <v>10035.548438927539</v>
      </c>
      <c r="H13" s="1013">
        <f>industrie!G18</f>
        <v>0</v>
      </c>
      <c r="I13" s="1013">
        <f>industrie!H18</f>
        <v>0</v>
      </c>
      <c r="J13" s="1013">
        <f>industrie!I18</f>
        <v>0</v>
      </c>
      <c r="K13" s="1013">
        <f>industrie!J18</f>
        <v>158.06877000750001</v>
      </c>
      <c r="L13" s="1013">
        <f>industrie!K18</f>
        <v>0</v>
      </c>
      <c r="M13" s="1013">
        <f>industrie!L18</f>
        <v>0</v>
      </c>
      <c r="N13" s="1013">
        <f>industrie!M18</f>
        <v>0</v>
      </c>
      <c r="O13" s="1013">
        <f>industrie!N18</f>
        <v>10499.110005856044</v>
      </c>
      <c r="P13" s="1013">
        <f>industrie!O18</f>
        <v>0</v>
      </c>
      <c r="Q13" s="1014">
        <f>industrie!P18</f>
        <v>0</v>
      </c>
      <c r="R13" s="700">
        <f>SUM(C13:Q13)</f>
        <v>107220.56575217599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91406.59185984268</v>
      </c>
      <c r="D16" s="732">
        <f t="shared" ref="D16:R16" ca="1" si="0">SUM(D9:D15)</f>
        <v>256.33928571428572</v>
      </c>
      <c r="E16" s="732">
        <f t="shared" ca="1" si="0"/>
        <v>98062.614450383087</v>
      </c>
      <c r="F16" s="732">
        <f t="shared" si="0"/>
        <v>14046.9006636126</v>
      </c>
      <c r="G16" s="732">
        <f t="shared" ca="1" si="0"/>
        <v>59352.926229802877</v>
      </c>
      <c r="H16" s="732">
        <f t="shared" si="0"/>
        <v>0</v>
      </c>
      <c r="I16" s="732">
        <f t="shared" si="0"/>
        <v>0</v>
      </c>
      <c r="J16" s="732">
        <f t="shared" si="0"/>
        <v>0</v>
      </c>
      <c r="K16" s="732">
        <f t="shared" si="0"/>
        <v>158.1281083640491</v>
      </c>
      <c r="L16" s="732">
        <f t="shared" si="0"/>
        <v>0</v>
      </c>
      <c r="M16" s="732">
        <f t="shared" ca="1" si="0"/>
        <v>0</v>
      </c>
      <c r="N16" s="732">
        <f t="shared" si="0"/>
        <v>0</v>
      </c>
      <c r="O16" s="732">
        <f t="shared" ca="1" si="0"/>
        <v>23673.664613674904</v>
      </c>
      <c r="P16" s="732">
        <f t="shared" si="0"/>
        <v>397.0866666666667</v>
      </c>
      <c r="Q16" s="732">
        <f t="shared" si="0"/>
        <v>2040.1333333333332</v>
      </c>
      <c r="R16" s="732">
        <f t="shared" ca="1" si="0"/>
        <v>289394.38521139452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1609.6399218629883</v>
      </c>
      <c r="I19" s="1013">
        <f>transport!H54</f>
        <v>0</v>
      </c>
      <c r="J19" s="1013">
        <f>transport!I54</f>
        <v>0</v>
      </c>
      <c r="K19" s="1013">
        <f>transport!J54</f>
        <v>0</v>
      </c>
      <c r="L19" s="1013">
        <f>transport!K54</f>
        <v>0</v>
      </c>
      <c r="M19" s="1013">
        <f>transport!L54</f>
        <v>0</v>
      </c>
      <c r="N19" s="1013">
        <f>transport!M54</f>
        <v>91.420441683431008</v>
      </c>
      <c r="O19" s="1013">
        <f>transport!N54</f>
        <v>0</v>
      </c>
      <c r="P19" s="1013">
        <f>transport!O54</f>
        <v>0</v>
      </c>
      <c r="Q19" s="1014">
        <f>transport!P54</f>
        <v>0</v>
      </c>
      <c r="R19" s="700">
        <f>SUM(C19:Q19)</f>
        <v>1701.0603635464192</v>
      </c>
      <c r="S19" s="67"/>
    </row>
    <row r="20" spans="1:19" s="473" customFormat="1">
      <c r="A20" s="809" t="s">
        <v>307</v>
      </c>
      <c r="B20" s="814"/>
      <c r="C20" s="1013">
        <f>transport!B14</f>
        <v>78.958304328803976</v>
      </c>
      <c r="D20" s="1013">
        <f>transport!C14</f>
        <v>0</v>
      </c>
      <c r="E20" s="1013">
        <f>transport!D14</f>
        <v>263.66655585521482</v>
      </c>
      <c r="F20" s="1013">
        <f>transport!E14</f>
        <v>393.18889695744184</v>
      </c>
      <c r="G20" s="1013">
        <f>transport!F14</f>
        <v>0</v>
      </c>
      <c r="H20" s="1013">
        <f>transport!G14</f>
        <v>134076.48059472488</v>
      </c>
      <c r="I20" s="1013">
        <f>transport!H14</f>
        <v>30379.074298240164</v>
      </c>
      <c r="J20" s="1013">
        <f>transport!I14</f>
        <v>0</v>
      </c>
      <c r="K20" s="1013">
        <f>transport!J14</f>
        <v>0</v>
      </c>
      <c r="L20" s="1013">
        <f>transport!K14</f>
        <v>0</v>
      </c>
      <c r="M20" s="1013">
        <f>transport!L14</f>
        <v>0</v>
      </c>
      <c r="N20" s="1013">
        <f>transport!M14</f>
        <v>8729.6540082831161</v>
      </c>
      <c r="O20" s="1013">
        <f>transport!N14</f>
        <v>0</v>
      </c>
      <c r="P20" s="1013">
        <f>transport!O14</f>
        <v>0</v>
      </c>
      <c r="Q20" s="1014">
        <f>transport!P14</f>
        <v>0</v>
      </c>
      <c r="R20" s="700">
        <f>SUM(C20:Q20)</f>
        <v>173921.02265838961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78.958304328803976</v>
      </c>
      <c r="D22" s="812">
        <f t="shared" ref="D22:R22" si="1">SUM(D18:D21)</f>
        <v>0</v>
      </c>
      <c r="E22" s="812">
        <f t="shared" si="1"/>
        <v>263.66655585521482</v>
      </c>
      <c r="F22" s="812">
        <f t="shared" si="1"/>
        <v>393.18889695744184</v>
      </c>
      <c r="G22" s="812">
        <f t="shared" si="1"/>
        <v>0</v>
      </c>
      <c r="H22" s="812">
        <f t="shared" si="1"/>
        <v>135686.12051658786</v>
      </c>
      <c r="I22" s="812">
        <f t="shared" si="1"/>
        <v>30379.074298240164</v>
      </c>
      <c r="J22" s="812">
        <f t="shared" si="1"/>
        <v>0</v>
      </c>
      <c r="K22" s="812">
        <f t="shared" si="1"/>
        <v>0</v>
      </c>
      <c r="L22" s="812">
        <f t="shared" si="1"/>
        <v>0</v>
      </c>
      <c r="M22" s="812">
        <f t="shared" si="1"/>
        <v>0</v>
      </c>
      <c r="N22" s="812">
        <f t="shared" si="1"/>
        <v>8821.074449966547</v>
      </c>
      <c r="O22" s="812">
        <f t="shared" si="1"/>
        <v>0</v>
      </c>
      <c r="P22" s="812">
        <f t="shared" si="1"/>
        <v>0</v>
      </c>
      <c r="Q22" s="812">
        <f t="shared" si="1"/>
        <v>0</v>
      </c>
      <c r="R22" s="812">
        <f t="shared" si="1"/>
        <v>175622.08302193604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624.63522682895996</v>
      </c>
      <c r="D24" s="1013">
        <f>+landbouw!C8</f>
        <v>0</v>
      </c>
      <c r="E24" s="1013">
        <f>+landbouw!D8</f>
        <v>123.80589925421494</v>
      </c>
      <c r="F24" s="1013">
        <f>+landbouw!E8</f>
        <v>18.359937172693492</v>
      </c>
      <c r="G24" s="1013">
        <f>+landbouw!F8</f>
        <v>2602.1966014534332</v>
      </c>
      <c r="H24" s="1013">
        <f>+landbouw!G8</f>
        <v>0</v>
      </c>
      <c r="I24" s="1013">
        <f>+landbouw!H8</f>
        <v>0</v>
      </c>
      <c r="J24" s="1013">
        <f>+landbouw!I8</f>
        <v>0</v>
      </c>
      <c r="K24" s="1013">
        <f>+landbouw!J8</f>
        <v>90.496230172469382</v>
      </c>
      <c r="L24" s="1013">
        <f>+landbouw!K8</f>
        <v>0</v>
      </c>
      <c r="M24" s="1013">
        <f>+landbouw!L8</f>
        <v>0</v>
      </c>
      <c r="N24" s="1013">
        <f>+landbouw!M8</f>
        <v>0</v>
      </c>
      <c r="O24" s="1013">
        <f>+landbouw!N8</f>
        <v>0</v>
      </c>
      <c r="P24" s="1013">
        <f>+landbouw!O8</f>
        <v>0</v>
      </c>
      <c r="Q24" s="1014">
        <f>+landbouw!P8</f>
        <v>0</v>
      </c>
      <c r="R24" s="700">
        <f>SUM(C24:Q24)</f>
        <v>3459.4938948817712</v>
      </c>
      <c r="S24" s="67"/>
    </row>
    <row r="25" spans="1:19" s="473" customFormat="1" ht="15" thickBot="1">
      <c r="A25" s="831" t="s">
        <v>836</v>
      </c>
      <c r="B25" s="1016"/>
      <c r="C25" s="1017">
        <f>IF(Onbekend_ele_kWh="---",0,Onbekend_ele_kWh)/1000+IF(REST_rest_ele_kWh="---",0,REST_rest_ele_kWh)/1000</f>
        <v>789.18753801582295</v>
      </c>
      <c r="D25" s="1017"/>
      <c r="E25" s="1017">
        <f>IF(onbekend_gas_kWh="---",0,onbekend_gas_kWh)/1000+IF(REST_rest_gas_kWh="---",0,REST_rest_gas_kWh)/1000</f>
        <v>1579.69597792484</v>
      </c>
      <c r="F25" s="1017"/>
      <c r="G25" s="1017"/>
      <c r="H25" s="1017"/>
      <c r="I25" s="1017"/>
      <c r="J25" s="1017"/>
      <c r="K25" s="1017"/>
      <c r="L25" s="1017"/>
      <c r="M25" s="1017"/>
      <c r="N25" s="1017"/>
      <c r="O25" s="1017"/>
      <c r="P25" s="1017"/>
      <c r="Q25" s="1018"/>
      <c r="R25" s="700">
        <f>SUM(C25:Q25)</f>
        <v>2368.8835159406631</v>
      </c>
      <c r="S25" s="67"/>
    </row>
    <row r="26" spans="1:19" s="473" customFormat="1" ht="15.75" thickBot="1">
      <c r="A26" s="705" t="s">
        <v>837</v>
      </c>
      <c r="B26" s="817"/>
      <c r="C26" s="812">
        <f>SUM(C24:C25)</f>
        <v>1413.8227648447828</v>
      </c>
      <c r="D26" s="812">
        <f t="shared" ref="D26:R26" si="2">SUM(D24:D25)</f>
        <v>0</v>
      </c>
      <c r="E26" s="812">
        <f t="shared" si="2"/>
        <v>1703.5018771790549</v>
      </c>
      <c r="F26" s="812">
        <f t="shared" si="2"/>
        <v>18.359937172693492</v>
      </c>
      <c r="G26" s="812">
        <f t="shared" si="2"/>
        <v>2602.1966014534332</v>
      </c>
      <c r="H26" s="812">
        <f t="shared" si="2"/>
        <v>0</v>
      </c>
      <c r="I26" s="812">
        <f t="shared" si="2"/>
        <v>0</v>
      </c>
      <c r="J26" s="812">
        <f t="shared" si="2"/>
        <v>0</v>
      </c>
      <c r="K26" s="812">
        <f t="shared" si="2"/>
        <v>90.496230172469382</v>
      </c>
      <c r="L26" s="812">
        <f t="shared" si="2"/>
        <v>0</v>
      </c>
      <c r="M26" s="812">
        <f t="shared" si="2"/>
        <v>0</v>
      </c>
      <c r="N26" s="812">
        <f t="shared" si="2"/>
        <v>0</v>
      </c>
      <c r="O26" s="812">
        <f t="shared" si="2"/>
        <v>0</v>
      </c>
      <c r="P26" s="812">
        <f t="shared" si="2"/>
        <v>0</v>
      </c>
      <c r="Q26" s="812">
        <f t="shared" si="2"/>
        <v>0</v>
      </c>
      <c r="R26" s="812">
        <f t="shared" si="2"/>
        <v>5828.3774108224343</v>
      </c>
      <c r="S26" s="67"/>
    </row>
    <row r="27" spans="1:19" s="473" customFormat="1" ht="17.25" thickTop="1" thickBot="1">
      <c r="A27" s="706" t="s">
        <v>116</v>
      </c>
      <c r="B27" s="805"/>
      <c r="C27" s="707">
        <f ca="1">C22+C16+C26</f>
        <v>92899.372929016259</v>
      </c>
      <c r="D27" s="707">
        <f t="shared" ref="D27:R27" ca="1" si="3">D22+D16+D26</f>
        <v>256.33928571428572</v>
      </c>
      <c r="E27" s="707">
        <f t="shared" ca="1" si="3"/>
        <v>100029.78288341736</v>
      </c>
      <c r="F27" s="707">
        <f t="shared" si="3"/>
        <v>14458.449497742735</v>
      </c>
      <c r="G27" s="707">
        <f t="shared" ca="1" si="3"/>
        <v>61955.122831256311</v>
      </c>
      <c r="H27" s="707">
        <f t="shared" si="3"/>
        <v>135686.12051658786</v>
      </c>
      <c r="I27" s="707">
        <f t="shared" si="3"/>
        <v>30379.074298240164</v>
      </c>
      <c r="J27" s="707">
        <f t="shared" si="3"/>
        <v>0</v>
      </c>
      <c r="K27" s="707">
        <f t="shared" si="3"/>
        <v>248.62433853651848</v>
      </c>
      <c r="L27" s="707">
        <f t="shared" si="3"/>
        <v>0</v>
      </c>
      <c r="M27" s="707">
        <f t="shared" ca="1" si="3"/>
        <v>0</v>
      </c>
      <c r="N27" s="707">
        <f t="shared" si="3"/>
        <v>8821.074449966547</v>
      </c>
      <c r="O27" s="707">
        <f t="shared" ca="1" si="3"/>
        <v>23673.664613674904</v>
      </c>
      <c r="P27" s="707">
        <f t="shared" si="3"/>
        <v>397.0866666666667</v>
      </c>
      <c r="Q27" s="707">
        <f t="shared" si="3"/>
        <v>2040.1333333333332</v>
      </c>
      <c r="R27" s="707">
        <f t="shared" ca="1" si="3"/>
        <v>470844.84564415296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3280.8207748542336</v>
      </c>
      <c r="D40" s="1013">
        <f ca="1">tertiair!C20</f>
        <v>47.837665618394595</v>
      </c>
      <c r="E40" s="1013">
        <f ca="1">tertiair!D20</f>
        <v>2869.4022411045798</v>
      </c>
      <c r="F40" s="1013">
        <f>tertiair!E20</f>
        <v>39.214423706562158</v>
      </c>
      <c r="G40" s="1013">
        <f ca="1">tertiair!F20</f>
        <v>709.93131343528057</v>
      </c>
      <c r="H40" s="1013">
        <f>tertiair!G20</f>
        <v>0</v>
      </c>
      <c r="I40" s="1013">
        <f>tertiair!H20</f>
        <v>0</v>
      </c>
      <c r="J40" s="1013">
        <f>tertiair!I20</f>
        <v>0</v>
      </c>
      <c r="K40" s="1013">
        <f>tertiair!J20</f>
        <v>2.100577821838091E-2</v>
      </c>
      <c r="L40" s="1013">
        <f>tertiair!K20</f>
        <v>0</v>
      </c>
      <c r="M40" s="1013">
        <f ca="1">tertiair!L20</f>
        <v>0</v>
      </c>
      <c r="N40" s="1013">
        <f>tertiair!M20</f>
        <v>0</v>
      </c>
      <c r="O40" s="1013">
        <f ca="1">tertiair!N20</f>
        <v>0</v>
      </c>
      <c r="P40" s="1013">
        <f>tertiair!O20</f>
        <v>0</v>
      </c>
      <c r="Q40" s="774">
        <f>tertiair!P20</f>
        <v>0</v>
      </c>
      <c r="R40" s="850">
        <f t="shared" ca="1" si="4"/>
        <v>6947.2274244972696</v>
      </c>
    </row>
    <row r="41" spans="1:18">
      <c r="A41" s="822" t="s">
        <v>225</v>
      </c>
      <c r="B41" s="829"/>
      <c r="C41" s="1013">
        <f ca="1">huishoudens!B12</f>
        <v>6249.0256970892033</v>
      </c>
      <c r="D41" s="1013">
        <f ca="1">huishoudens!C12</f>
        <v>0</v>
      </c>
      <c r="E41" s="1013">
        <f>huishoudens!D12</f>
        <v>9302.5720842017272</v>
      </c>
      <c r="F41" s="1013">
        <f>huishoudens!E12</f>
        <v>2489.749672028328</v>
      </c>
      <c r="G41" s="1013">
        <f>huishoudens!F12</f>
        <v>12457.808556728434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30499.156010047693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9577.1452525877012</v>
      </c>
      <c r="D43" s="1013">
        <f ca="1">industrie!C22</f>
        <v>0</v>
      </c>
      <c r="E43" s="1013">
        <f>industrie!D22</f>
        <v>7636.6737936710797</v>
      </c>
      <c r="F43" s="1013">
        <f>industrie!E22</f>
        <v>659.68235490517009</v>
      </c>
      <c r="G43" s="1013">
        <f>industrie!F22</f>
        <v>2679.4914331936529</v>
      </c>
      <c r="H43" s="1013">
        <f>industrie!G22</f>
        <v>0</v>
      </c>
      <c r="I43" s="1013">
        <f>industrie!H22</f>
        <v>0</v>
      </c>
      <c r="J43" s="1013">
        <f>industrie!I22</f>
        <v>0</v>
      </c>
      <c r="K43" s="1013">
        <f>industrie!J22</f>
        <v>55.956344582654999</v>
      </c>
      <c r="L43" s="1013">
        <f>industrie!K22</f>
        <v>0</v>
      </c>
      <c r="M43" s="1013">
        <f>industrie!L22</f>
        <v>0</v>
      </c>
      <c r="N43" s="1013">
        <f>industrie!M22</f>
        <v>0</v>
      </c>
      <c r="O43" s="1013">
        <f>industrie!N22</f>
        <v>0</v>
      </c>
      <c r="P43" s="1013">
        <f>industrie!O22</f>
        <v>0</v>
      </c>
      <c r="Q43" s="774">
        <f>industrie!P22</f>
        <v>0</v>
      </c>
      <c r="R43" s="849">
        <f t="shared" ca="1" si="4"/>
        <v>20608.949178940256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19106.991724531137</v>
      </c>
      <c r="D46" s="732">
        <f t="shared" ref="D46:Q46" ca="1" si="5">SUM(D39:D45)</f>
        <v>47.837665618394595</v>
      </c>
      <c r="E46" s="732">
        <f t="shared" ca="1" si="5"/>
        <v>19808.648118977384</v>
      </c>
      <c r="F46" s="732">
        <f t="shared" si="5"/>
        <v>3188.6464506400603</v>
      </c>
      <c r="G46" s="732">
        <f t="shared" ca="1" si="5"/>
        <v>15847.231303357366</v>
      </c>
      <c r="H46" s="732">
        <f t="shared" si="5"/>
        <v>0</v>
      </c>
      <c r="I46" s="732">
        <f t="shared" si="5"/>
        <v>0</v>
      </c>
      <c r="J46" s="732">
        <f t="shared" si="5"/>
        <v>0</v>
      </c>
      <c r="K46" s="732">
        <f t="shared" si="5"/>
        <v>55.97735036087338</v>
      </c>
      <c r="L46" s="732">
        <f t="shared" si="5"/>
        <v>0</v>
      </c>
      <c r="M46" s="732">
        <f t="shared" ca="1" si="5"/>
        <v>0</v>
      </c>
      <c r="N46" s="732">
        <f t="shared" si="5"/>
        <v>0</v>
      </c>
      <c r="O46" s="732">
        <f t="shared" ca="1" si="5"/>
        <v>0</v>
      </c>
      <c r="P46" s="732">
        <f t="shared" si="5"/>
        <v>0</v>
      </c>
      <c r="Q46" s="732">
        <f t="shared" si="5"/>
        <v>0</v>
      </c>
      <c r="R46" s="732">
        <f ca="1">SUM(R39:R45)</f>
        <v>58055.332613485225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429.7738591374179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429.7738591374179</v>
      </c>
    </row>
    <row r="50" spans="1:18">
      <c r="A50" s="825" t="s">
        <v>307</v>
      </c>
      <c r="B50" s="835"/>
      <c r="C50" s="703">
        <f ca="1">transport!B18</f>
        <v>16.504889162772304</v>
      </c>
      <c r="D50" s="703">
        <f>transport!C18</f>
        <v>0</v>
      </c>
      <c r="E50" s="703">
        <f>transport!D18</f>
        <v>53.260644282753397</v>
      </c>
      <c r="F50" s="703">
        <f>transport!E18</f>
        <v>89.253879609339307</v>
      </c>
      <c r="G50" s="703">
        <f>transport!F18</f>
        <v>0</v>
      </c>
      <c r="H50" s="703">
        <f>transport!G18</f>
        <v>35798.420318791548</v>
      </c>
      <c r="I50" s="703">
        <f>transport!H18</f>
        <v>7564.389500261801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43521.829232108212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16.504889162772304</v>
      </c>
      <c r="D52" s="732">
        <f t="shared" ref="D52:Q52" ca="1" si="6">SUM(D48:D51)</f>
        <v>0</v>
      </c>
      <c r="E52" s="732">
        <f t="shared" si="6"/>
        <v>53.260644282753397</v>
      </c>
      <c r="F52" s="732">
        <f t="shared" si="6"/>
        <v>89.253879609339307</v>
      </c>
      <c r="G52" s="732">
        <f t="shared" si="6"/>
        <v>0</v>
      </c>
      <c r="H52" s="732">
        <f t="shared" si="6"/>
        <v>36228.194177928963</v>
      </c>
      <c r="I52" s="732">
        <f t="shared" si="6"/>
        <v>7564.389500261801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43951.603091245626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130.56935902578908</v>
      </c>
      <c r="D54" s="703">
        <f ca="1">+landbouw!C12</f>
        <v>0</v>
      </c>
      <c r="E54" s="703">
        <f>+landbouw!D12</f>
        <v>25.008791649351419</v>
      </c>
      <c r="F54" s="703">
        <f>+landbouw!E12</f>
        <v>4.1677057382014224</v>
      </c>
      <c r="G54" s="703">
        <f>+landbouw!F12</f>
        <v>694.78649258806672</v>
      </c>
      <c r="H54" s="703">
        <f>+landbouw!G12</f>
        <v>0</v>
      </c>
      <c r="I54" s="703">
        <f>+landbouw!H12</f>
        <v>0</v>
      </c>
      <c r="J54" s="703">
        <f>+landbouw!I12</f>
        <v>0</v>
      </c>
      <c r="K54" s="703">
        <f>+landbouw!J12</f>
        <v>32.03566548105416</v>
      </c>
      <c r="L54" s="703">
        <f>+landbouw!K12</f>
        <v>0</v>
      </c>
      <c r="M54" s="703">
        <f>+landbouw!L12</f>
        <v>0</v>
      </c>
      <c r="N54" s="703">
        <f>+landbouw!M12</f>
        <v>0</v>
      </c>
      <c r="O54" s="703">
        <f>+landbouw!N12</f>
        <v>0</v>
      </c>
      <c r="P54" s="703">
        <f>+landbouw!O12</f>
        <v>0</v>
      </c>
      <c r="Q54" s="704">
        <f>+landbouw!P12</f>
        <v>0</v>
      </c>
      <c r="R54" s="731">
        <f ca="1">SUM(C54:Q54)</f>
        <v>886.56801448246279</v>
      </c>
    </row>
    <row r="55" spans="1:18" ht="15" thickBot="1">
      <c r="A55" s="825" t="s">
        <v>836</v>
      </c>
      <c r="B55" s="835"/>
      <c r="C55" s="703">
        <f ca="1">C25*'EF ele_warmte'!B12</f>
        <v>164.96621798450437</v>
      </c>
      <c r="D55" s="703"/>
      <c r="E55" s="703">
        <f>E25*EF_CO2_aardgas</f>
        <v>319.09858754081768</v>
      </c>
      <c r="F55" s="703"/>
      <c r="G55" s="703"/>
      <c r="H55" s="703"/>
      <c r="I55" s="703"/>
      <c r="J55" s="703"/>
      <c r="K55" s="703"/>
      <c r="L55" s="703"/>
      <c r="M55" s="703"/>
      <c r="N55" s="703"/>
      <c r="O55" s="703"/>
      <c r="P55" s="703"/>
      <c r="Q55" s="704"/>
      <c r="R55" s="731">
        <f ca="1">SUM(C55:Q55)</f>
        <v>484.06480552532207</v>
      </c>
    </row>
    <row r="56" spans="1:18" ht="15.75" thickBot="1">
      <c r="A56" s="823" t="s">
        <v>837</v>
      </c>
      <c r="B56" s="836"/>
      <c r="C56" s="732">
        <f ca="1">SUM(C54:C55)</f>
        <v>295.53557701029342</v>
      </c>
      <c r="D56" s="732">
        <f t="shared" ref="D56:Q56" ca="1" si="7">SUM(D54:D55)</f>
        <v>0</v>
      </c>
      <c r="E56" s="732">
        <f t="shared" si="7"/>
        <v>344.10737919016907</v>
      </c>
      <c r="F56" s="732">
        <f t="shared" si="7"/>
        <v>4.1677057382014224</v>
      </c>
      <c r="G56" s="732">
        <f t="shared" si="7"/>
        <v>694.78649258806672</v>
      </c>
      <c r="H56" s="732">
        <f t="shared" si="7"/>
        <v>0</v>
      </c>
      <c r="I56" s="732">
        <f t="shared" si="7"/>
        <v>0</v>
      </c>
      <c r="J56" s="732">
        <f t="shared" si="7"/>
        <v>0</v>
      </c>
      <c r="K56" s="732">
        <f t="shared" si="7"/>
        <v>32.03566548105416</v>
      </c>
      <c r="L56" s="732">
        <f t="shared" si="7"/>
        <v>0</v>
      </c>
      <c r="M56" s="732">
        <f t="shared" si="7"/>
        <v>0</v>
      </c>
      <c r="N56" s="732">
        <f t="shared" si="7"/>
        <v>0</v>
      </c>
      <c r="O56" s="732">
        <f t="shared" si="7"/>
        <v>0</v>
      </c>
      <c r="P56" s="732">
        <f t="shared" si="7"/>
        <v>0</v>
      </c>
      <c r="Q56" s="733">
        <f t="shared" si="7"/>
        <v>0</v>
      </c>
      <c r="R56" s="734">
        <f ca="1">SUM(R54:R55)</f>
        <v>1370.6328200077849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19419.032190704205</v>
      </c>
      <c r="D61" s="740">
        <f t="shared" ref="D61:Q61" ca="1" si="8">D46+D52+D56</f>
        <v>47.837665618394595</v>
      </c>
      <c r="E61" s="740">
        <f t="shared" ca="1" si="8"/>
        <v>20206.016142450306</v>
      </c>
      <c r="F61" s="740">
        <f t="shared" si="8"/>
        <v>3282.068035987601</v>
      </c>
      <c r="G61" s="740">
        <f t="shared" ca="1" si="8"/>
        <v>16542.017795945434</v>
      </c>
      <c r="H61" s="740">
        <f t="shared" si="8"/>
        <v>36228.194177928963</v>
      </c>
      <c r="I61" s="740">
        <f t="shared" si="8"/>
        <v>7564.389500261801</v>
      </c>
      <c r="J61" s="740">
        <f t="shared" si="8"/>
        <v>0</v>
      </c>
      <c r="K61" s="740">
        <f t="shared" si="8"/>
        <v>88.01301584192754</v>
      </c>
      <c r="L61" s="740">
        <f t="shared" si="8"/>
        <v>0</v>
      </c>
      <c r="M61" s="740">
        <f t="shared" ca="1" si="8"/>
        <v>0</v>
      </c>
      <c r="N61" s="740">
        <f t="shared" si="8"/>
        <v>0</v>
      </c>
      <c r="O61" s="740">
        <f t="shared" ca="1" si="8"/>
        <v>0</v>
      </c>
      <c r="P61" s="740">
        <f t="shared" si="8"/>
        <v>0</v>
      </c>
      <c r="Q61" s="740">
        <f t="shared" si="8"/>
        <v>0</v>
      </c>
      <c r="R61" s="740">
        <f ca="1">R46+R52+R56</f>
        <v>103377.56852473864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0.20903297383441058</v>
      </c>
      <c r="D63" s="781">
        <f t="shared" ca="1" si="9"/>
        <v>0.18661854926019486</v>
      </c>
      <c r="E63" s="1024">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193.49682045051193</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4807.5490275973007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40.582822085889568</v>
      </c>
      <c r="C76" s="750">
        <f>'lokale energieproductie'!B8*IFERROR(SUM(D76:H76)/SUM(D76:O76),0)</f>
        <v>148.41717791411043</v>
      </c>
      <c r="D76" s="1034">
        <f>'lokale energieproductie'!C8</f>
        <v>174.6084446048358</v>
      </c>
      <c r="E76" s="1035">
        <f>'lokale energieproductie'!D8</f>
        <v>0</v>
      </c>
      <c r="F76" s="1035">
        <f>'lokale energieproductie'!E8</f>
        <v>0</v>
      </c>
      <c r="G76" s="1035">
        <f>'lokale energieproductie'!F8</f>
        <v>0</v>
      </c>
      <c r="H76" s="1035">
        <f>'lokale energieproductie'!G8</f>
        <v>0</v>
      </c>
      <c r="I76" s="1035">
        <f>'lokale energieproductie'!I8</f>
        <v>47.744496571634784</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35.270905810176835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5041.6286701337021</v>
      </c>
      <c r="C78" s="755">
        <f>SUM(C72:C77)</f>
        <v>148.41717791411043</v>
      </c>
      <c r="D78" s="756">
        <f t="shared" ref="D78:H78" si="10">SUM(D76:D77)</f>
        <v>174.6084446048358</v>
      </c>
      <c r="E78" s="756">
        <f t="shared" si="10"/>
        <v>0</v>
      </c>
      <c r="F78" s="756">
        <f t="shared" si="10"/>
        <v>0</v>
      </c>
      <c r="G78" s="756">
        <f t="shared" si="10"/>
        <v>0</v>
      </c>
      <c r="H78" s="756">
        <f t="shared" si="10"/>
        <v>0</v>
      </c>
      <c r="I78" s="756">
        <f>SUM(I76:I77)</f>
        <v>47.744496571634784</v>
      </c>
      <c r="J78" s="756">
        <f>SUM(J76:J77)</f>
        <v>0</v>
      </c>
      <c r="K78" s="756">
        <f t="shared" ref="K78:L78" si="11">SUM(K76:K77)</f>
        <v>0</v>
      </c>
      <c r="L78" s="756">
        <f t="shared" si="11"/>
        <v>0</v>
      </c>
      <c r="M78" s="756">
        <f>SUM(M76:M77)</f>
        <v>0</v>
      </c>
      <c r="N78" s="756">
        <f>SUM(N76:N77)</f>
        <v>0</v>
      </c>
      <c r="O78" s="860">
        <f>SUM(O76:O77)</f>
        <v>0</v>
      </c>
      <c r="P78" s="757">
        <v>0</v>
      </c>
      <c r="Q78" s="757">
        <f>SUM(Q76:Q77)</f>
        <v>35.270905810176835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55.042177914110425</v>
      </c>
      <c r="C87" s="766">
        <f>'lokale energieproductie'!B17*IFERROR(SUM(D87:H87)/SUM(D87:O87),0)</f>
        <v>201.2971078001753</v>
      </c>
      <c r="D87" s="777">
        <f>'lokale energieproductie'!C17</f>
        <v>236.82012682373562</v>
      </c>
      <c r="E87" s="777">
        <f>'lokale energieproductie'!D17</f>
        <v>0</v>
      </c>
      <c r="F87" s="777">
        <f>'lokale energieproductie'!E17</f>
        <v>0</v>
      </c>
      <c r="G87" s="777">
        <f>'lokale energieproductie'!F17</f>
        <v>0</v>
      </c>
      <c r="H87" s="777">
        <f>'lokale energieproductie'!G17</f>
        <v>0</v>
      </c>
      <c r="I87" s="777">
        <f>'lokale energieproductie'!I17</f>
        <v>64.755503428365202</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47.837665618394595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55.042177914110425</v>
      </c>
      <c r="C90" s="755">
        <f>SUM(C87:C89)</f>
        <v>201.2971078001753</v>
      </c>
      <c r="D90" s="755">
        <f t="shared" ref="D90:H90" si="12">SUM(D87:D89)</f>
        <v>236.82012682373562</v>
      </c>
      <c r="E90" s="755">
        <f t="shared" si="12"/>
        <v>0</v>
      </c>
      <c r="F90" s="755">
        <f t="shared" si="12"/>
        <v>0</v>
      </c>
      <c r="G90" s="755">
        <f t="shared" si="12"/>
        <v>0</v>
      </c>
      <c r="H90" s="755">
        <f t="shared" si="12"/>
        <v>0</v>
      </c>
      <c r="I90" s="755">
        <f>SUM(I87:I89)</f>
        <v>64.755503428365202</v>
      </c>
      <c r="J90" s="755">
        <f>SUM(J87:J89)</f>
        <v>0</v>
      </c>
      <c r="K90" s="755">
        <f t="shared" ref="K90:L90" si="13">SUM(K87:K89)</f>
        <v>0</v>
      </c>
      <c r="L90" s="755">
        <f t="shared" si="13"/>
        <v>0</v>
      </c>
      <c r="M90" s="755">
        <f>SUM(M87:M89)</f>
        <v>0</v>
      </c>
      <c r="N90" s="755">
        <f>SUM(N87:N89)</f>
        <v>0</v>
      </c>
      <c r="O90" s="755">
        <f>SUM(O87:O89)</f>
        <v>0</v>
      </c>
      <c r="P90" s="755">
        <v>0</v>
      </c>
      <c r="Q90" s="755">
        <f>SUM(Q87:Q89)</f>
        <v>47.837665618394595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193.49682045051193</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4807.5490275973007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189</v>
      </c>
      <c r="C8" s="570">
        <f>B101</f>
        <v>174.6084446048358</v>
      </c>
      <c r="D8" s="1044"/>
      <c r="E8" s="1044">
        <f>E101</f>
        <v>0</v>
      </c>
      <c r="F8" s="1045"/>
      <c r="G8" s="571"/>
      <c r="H8" s="1044">
        <f>I101</f>
        <v>0</v>
      </c>
      <c r="I8" s="1044">
        <f>G101+F101</f>
        <v>47.744496571634784</v>
      </c>
      <c r="J8" s="1044">
        <f>H101+D101+C101</f>
        <v>0</v>
      </c>
      <c r="K8" s="1044"/>
      <c r="L8" s="1044"/>
      <c r="M8" s="1044"/>
      <c r="N8" s="572"/>
      <c r="O8" s="573">
        <f>C8*$C$12+D8*$D$12+E8*$E$12+F8*$F$12+G8*$G$12+H8*$H$12+I8*$I$12+J8*$J$12</f>
        <v>35.270905810176835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5190.0458480478128</v>
      </c>
      <c r="C10" s="583">
        <f t="shared" ref="C10:L10" si="0">SUM(C8:C9)</f>
        <v>174.6084446048358</v>
      </c>
      <c r="D10" s="583">
        <f t="shared" si="0"/>
        <v>0</v>
      </c>
      <c r="E10" s="583">
        <f t="shared" si="0"/>
        <v>0</v>
      </c>
      <c r="F10" s="583">
        <f t="shared" si="0"/>
        <v>0</v>
      </c>
      <c r="G10" s="583">
        <f t="shared" si="0"/>
        <v>0</v>
      </c>
      <c r="H10" s="583">
        <f t="shared" si="0"/>
        <v>0</v>
      </c>
      <c r="I10" s="583">
        <f t="shared" si="0"/>
        <v>47.744496571634784</v>
      </c>
      <c r="J10" s="583">
        <f t="shared" si="0"/>
        <v>0</v>
      </c>
      <c r="K10" s="583">
        <f t="shared" si="0"/>
        <v>0</v>
      </c>
      <c r="L10" s="583">
        <f t="shared" si="0"/>
        <v>0</v>
      </c>
      <c r="M10" s="1047"/>
      <c r="N10" s="1047"/>
      <c r="O10" s="584">
        <f>SUM(O4:O9)</f>
        <v>35.270905810176835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256.33928571428572</v>
      </c>
      <c r="C17" s="595">
        <f>B102</f>
        <v>236.82012682373562</v>
      </c>
      <c r="D17" s="596"/>
      <c r="E17" s="596">
        <f>E102</f>
        <v>0</v>
      </c>
      <c r="F17" s="1050"/>
      <c r="G17" s="597"/>
      <c r="H17" s="595">
        <f>I102</f>
        <v>0</v>
      </c>
      <c r="I17" s="596">
        <f>G102+F102</f>
        <v>64.755503428365202</v>
      </c>
      <c r="J17" s="596">
        <f>H102+D102+C102</f>
        <v>0</v>
      </c>
      <c r="K17" s="596"/>
      <c r="L17" s="596"/>
      <c r="M17" s="596"/>
      <c r="N17" s="1051"/>
      <c r="O17" s="598">
        <f>C17*$C$22+E17*$E$22+H17*$H$22+I17*$I$22+J17*$J$22+D17*$D$22+F17*$F$22+G17*$G$22+K17*$K$22+L17*$L$22</f>
        <v>47.837665618394595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256.33928571428572</v>
      </c>
      <c r="C20" s="582">
        <f>SUM(C17:C19)</f>
        <v>236.82012682373562</v>
      </c>
      <c r="D20" s="582">
        <f t="shared" ref="D20:L20" si="1">SUM(D17:D19)</f>
        <v>0</v>
      </c>
      <c r="E20" s="582">
        <f t="shared" si="1"/>
        <v>0</v>
      </c>
      <c r="F20" s="582">
        <f t="shared" si="1"/>
        <v>0</v>
      </c>
      <c r="G20" s="582">
        <f t="shared" si="1"/>
        <v>0</v>
      </c>
      <c r="H20" s="582">
        <f t="shared" si="1"/>
        <v>0</v>
      </c>
      <c r="I20" s="582">
        <f t="shared" si="1"/>
        <v>64.755503428365202</v>
      </c>
      <c r="J20" s="582">
        <f t="shared" si="1"/>
        <v>0</v>
      </c>
      <c r="K20" s="582">
        <f t="shared" si="1"/>
        <v>0</v>
      </c>
      <c r="L20" s="582">
        <f t="shared" si="1"/>
        <v>0</v>
      </c>
      <c r="M20" s="582"/>
      <c r="N20" s="582"/>
      <c r="O20" s="601">
        <f>SUM(O17:O19)</f>
        <v>47.837665618394595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24094</v>
      </c>
      <c r="C28" s="796">
        <v>3118</v>
      </c>
      <c r="D28" s="653" t="s">
        <v>881</v>
      </c>
      <c r="E28" s="652" t="s">
        <v>882</v>
      </c>
      <c r="F28" s="652" t="s">
        <v>883</v>
      </c>
      <c r="G28" s="652" t="s">
        <v>884</v>
      </c>
      <c r="H28" s="652" t="s">
        <v>885</v>
      </c>
      <c r="I28" s="652" t="s">
        <v>882</v>
      </c>
      <c r="J28" s="795">
        <v>38718</v>
      </c>
      <c r="K28" s="795">
        <v>38991</v>
      </c>
      <c r="L28" s="652" t="s">
        <v>886</v>
      </c>
      <c r="M28" s="652">
        <v>10</v>
      </c>
      <c r="N28" s="652">
        <v>45</v>
      </c>
      <c r="O28" s="652">
        <v>50.625</v>
      </c>
      <c r="P28" s="652">
        <v>0</v>
      </c>
      <c r="Q28" s="652">
        <v>0</v>
      </c>
      <c r="R28" s="652">
        <v>0</v>
      </c>
      <c r="S28" s="652">
        <v>0</v>
      </c>
      <c r="T28" s="652">
        <v>112.5</v>
      </c>
      <c r="U28" s="652">
        <v>0</v>
      </c>
      <c r="V28" s="652">
        <v>0</v>
      </c>
      <c r="W28" s="652">
        <v>0</v>
      </c>
      <c r="X28" s="652">
        <v>1600</v>
      </c>
      <c r="Y28" s="652" t="s">
        <v>50</v>
      </c>
      <c r="Z28" s="654" t="s">
        <v>156</v>
      </c>
    </row>
    <row r="29" spans="1:26" s="606" customFormat="1" ht="51">
      <c r="A29" s="605"/>
      <c r="B29" s="796">
        <v>24094</v>
      </c>
      <c r="C29" s="796">
        <v>3110</v>
      </c>
      <c r="D29" s="653"/>
      <c r="E29" s="652"/>
      <c r="F29" s="652" t="s">
        <v>887</v>
      </c>
      <c r="G29" s="652" t="s">
        <v>884</v>
      </c>
      <c r="H29" s="652" t="s">
        <v>888</v>
      </c>
      <c r="I29" s="652" t="s">
        <v>889</v>
      </c>
      <c r="J29" s="795">
        <v>42028</v>
      </c>
      <c r="K29" s="795">
        <v>42019</v>
      </c>
      <c r="L29" s="652" t="s">
        <v>886</v>
      </c>
      <c r="M29" s="652">
        <v>32</v>
      </c>
      <c r="N29" s="652">
        <v>144</v>
      </c>
      <c r="O29" s="652">
        <v>205.71428571428572</v>
      </c>
      <c r="P29" s="652">
        <v>411.42857142857144</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v>
      </c>
      <c r="N58" s="610">
        <f>SUM(N28:N57)</f>
        <v>189</v>
      </c>
      <c r="O58" s="610">
        <f t="shared" ref="O58:W58" si="2">SUM(O28:O57)</f>
        <v>256.33928571428572</v>
      </c>
      <c r="P58" s="610">
        <f t="shared" si="2"/>
        <v>411.42857142857144</v>
      </c>
      <c r="Q58" s="610">
        <f t="shared" si="2"/>
        <v>0</v>
      </c>
      <c r="R58" s="610">
        <f t="shared" si="2"/>
        <v>0</v>
      </c>
      <c r="S58" s="610">
        <f t="shared" si="2"/>
        <v>0</v>
      </c>
      <c r="T58" s="610">
        <f t="shared" si="2"/>
        <v>112.5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42</v>
      </c>
      <c r="N60" s="610">
        <f ca="1">SUMIF($Z$28:AD57,"tertiair",N28:N57)</f>
        <v>189</v>
      </c>
      <c r="O60" s="610">
        <f ca="1">SUMIF($Z$28:AE57,"tertiair",O28:O57)</f>
        <v>256.33928571428572</v>
      </c>
      <c r="P60" s="610">
        <f ca="1">SUMIF($Z$28:AF57,"tertiair",P28:P57)</f>
        <v>411.42857142857144</v>
      </c>
      <c r="Q60" s="610">
        <f ca="1">SUMIF($Z$28:AG57,"tertiair",Q28:Q57)</f>
        <v>0</v>
      </c>
      <c r="R60" s="610">
        <f ca="1">SUMIF($Z$28:AH57,"tertiair",R28:R57)</f>
        <v>0</v>
      </c>
      <c r="S60" s="610">
        <f ca="1">SUMIF($Z$28:AI57,"tertiair",S28:S57)</f>
        <v>0</v>
      </c>
      <c r="T60" s="610">
        <f ca="1">SUMIF($Z$28:AJ57,"tertiair",T28:T57)</f>
        <v>112.5</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0.57560447491880185</v>
      </c>
      <c r="C98" s="635">
        <f>IF(ISERROR(N58/(O58+N58)),0,N58/(N58+O58))</f>
        <v>0.4243955250811981</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174.6084446048358</v>
      </c>
      <c r="C101" s="644">
        <f t="shared" si="9"/>
        <v>0</v>
      </c>
      <c r="D101" s="644">
        <f t="shared" si="9"/>
        <v>0</v>
      </c>
      <c r="E101" s="644">
        <f t="shared" si="9"/>
        <v>0</v>
      </c>
      <c r="F101" s="644">
        <f t="shared" si="9"/>
        <v>47.744496571634784</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236.82012682373562</v>
      </c>
      <c r="C102" s="647">
        <f t="shared" si="10"/>
        <v>0</v>
      </c>
      <c r="D102" s="647">
        <f t="shared" si="10"/>
        <v>0</v>
      </c>
      <c r="E102" s="647">
        <f t="shared" si="10"/>
        <v>0</v>
      </c>
      <c r="F102" s="647">
        <f t="shared" si="10"/>
        <v>64.755503428365202</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29894.927974566774</v>
      </c>
      <c r="C4" s="477">
        <f>huishoudens!C8</f>
        <v>0</v>
      </c>
      <c r="D4" s="477">
        <f>huishoudens!D8</f>
        <v>46052.337050503593</v>
      </c>
      <c r="E4" s="477">
        <f>huishoudens!E8</f>
        <v>10968.060229199682</v>
      </c>
      <c r="F4" s="477">
        <f>huishoudens!F8</f>
        <v>46658.459013964173</v>
      </c>
      <c r="G4" s="477">
        <f>huishoudens!G8</f>
        <v>0</v>
      </c>
      <c r="H4" s="477">
        <f>huishoudens!H8</f>
        <v>0</v>
      </c>
      <c r="I4" s="477">
        <f>huishoudens!I8</f>
        <v>0</v>
      </c>
      <c r="J4" s="477">
        <f>huishoudens!J8</f>
        <v>0</v>
      </c>
      <c r="K4" s="477">
        <f>huishoudens!K8</f>
        <v>0</v>
      </c>
      <c r="L4" s="477">
        <f>huishoudens!L8</f>
        <v>0</v>
      </c>
      <c r="M4" s="477">
        <f>huishoudens!M8</f>
        <v>0</v>
      </c>
      <c r="N4" s="477">
        <f>huishoudens!N8</f>
        <v>10827.914406674088</v>
      </c>
      <c r="O4" s="477">
        <f>huishoudens!O8</f>
        <v>395.52333333333337</v>
      </c>
      <c r="P4" s="478">
        <f>huishoudens!P8</f>
        <v>2021.0666666666666</v>
      </c>
      <c r="Q4" s="479">
        <f>SUM(B4:P4)</f>
        <v>146818.28867490834</v>
      </c>
    </row>
    <row r="5" spans="1:17">
      <c r="A5" s="476" t="s">
        <v>156</v>
      </c>
      <c r="B5" s="477">
        <f ca="1">tertiair!B16</f>
        <v>14995.799827329658</v>
      </c>
      <c r="C5" s="477">
        <f ca="1">tertiair!C16</f>
        <v>256.33928571428572</v>
      </c>
      <c r="D5" s="477">
        <f ca="1">tertiair!D16</f>
        <v>14204.961589626631</v>
      </c>
      <c r="E5" s="477">
        <f>tertiair!E16</f>
        <v>172.75076522714608</v>
      </c>
      <c r="F5" s="477">
        <f ca="1">tertiair!F16</f>
        <v>2658.9187769111631</v>
      </c>
      <c r="G5" s="477">
        <f>tertiair!G16</f>
        <v>0</v>
      </c>
      <c r="H5" s="477">
        <f>tertiair!H16</f>
        <v>0</v>
      </c>
      <c r="I5" s="477">
        <f>tertiair!I16</f>
        <v>0</v>
      </c>
      <c r="J5" s="477">
        <f>tertiair!J16</f>
        <v>5.9338356549098623E-2</v>
      </c>
      <c r="K5" s="477">
        <f>tertiair!K16</f>
        <v>0</v>
      </c>
      <c r="L5" s="477">
        <f ca="1">tertiair!L16</f>
        <v>0</v>
      </c>
      <c r="M5" s="477">
        <f>tertiair!M16</f>
        <v>0</v>
      </c>
      <c r="N5" s="477">
        <f ca="1">tertiair!N16</f>
        <v>2346.6402011447708</v>
      </c>
      <c r="O5" s="477">
        <f>tertiair!O16</f>
        <v>1.5633333333333335</v>
      </c>
      <c r="P5" s="478">
        <f>tertiair!P16</f>
        <v>19.066666666666666</v>
      </c>
      <c r="Q5" s="476">
        <f t="shared" ref="Q5:Q14" ca="1" si="0">SUM(B5:P5)</f>
        <v>34656.099784310201</v>
      </c>
    </row>
    <row r="6" spans="1:17">
      <c r="A6" s="476" t="s">
        <v>194</v>
      </c>
      <c r="B6" s="477">
        <f>'openbare verlichting'!B8</f>
        <v>699.43100000000004</v>
      </c>
      <c r="C6" s="477"/>
      <c r="D6" s="477"/>
      <c r="E6" s="477"/>
      <c r="F6" s="477"/>
      <c r="G6" s="477"/>
      <c r="H6" s="477"/>
      <c r="I6" s="477"/>
      <c r="J6" s="477"/>
      <c r="K6" s="477"/>
      <c r="L6" s="477"/>
      <c r="M6" s="477"/>
      <c r="N6" s="477"/>
      <c r="O6" s="477"/>
      <c r="P6" s="478"/>
      <c r="Q6" s="476">
        <f t="shared" si="0"/>
        <v>699.43100000000004</v>
      </c>
    </row>
    <row r="7" spans="1:17">
      <c r="A7" s="476" t="s">
        <v>112</v>
      </c>
      <c r="B7" s="477">
        <f>landbouw!B8</f>
        <v>624.63522682895996</v>
      </c>
      <c r="C7" s="477">
        <f>landbouw!C8</f>
        <v>0</v>
      </c>
      <c r="D7" s="477">
        <f>landbouw!D8</f>
        <v>123.80589925421494</v>
      </c>
      <c r="E7" s="477">
        <f>landbouw!E8</f>
        <v>18.359937172693492</v>
      </c>
      <c r="F7" s="477">
        <f>landbouw!F8</f>
        <v>2602.1966014534332</v>
      </c>
      <c r="G7" s="477">
        <f>landbouw!G8</f>
        <v>0</v>
      </c>
      <c r="H7" s="477">
        <f>landbouw!H8</f>
        <v>0</v>
      </c>
      <c r="I7" s="477">
        <f>landbouw!I8</f>
        <v>0</v>
      </c>
      <c r="J7" s="477">
        <f>landbouw!J8</f>
        <v>90.496230172469382</v>
      </c>
      <c r="K7" s="477">
        <f>landbouw!K8</f>
        <v>0</v>
      </c>
      <c r="L7" s="477">
        <f>landbouw!L8</f>
        <v>0</v>
      </c>
      <c r="M7" s="477">
        <f>landbouw!M8</f>
        <v>0</v>
      </c>
      <c r="N7" s="477">
        <f>landbouw!N8</f>
        <v>0</v>
      </c>
      <c r="O7" s="477">
        <f>landbouw!O8</f>
        <v>0</v>
      </c>
      <c r="P7" s="478">
        <f>landbouw!P8</f>
        <v>0</v>
      </c>
      <c r="Q7" s="476">
        <f t="shared" si="0"/>
        <v>3459.4938948817712</v>
      </c>
    </row>
    <row r="8" spans="1:17">
      <c r="A8" s="476" t="s">
        <v>635</v>
      </c>
      <c r="B8" s="477">
        <f>industrie!B18</f>
        <v>45816.433057946255</v>
      </c>
      <c r="C8" s="477">
        <f>industrie!C18</f>
        <v>0</v>
      </c>
      <c r="D8" s="477">
        <f>industrie!D18</f>
        <v>37805.315810252869</v>
      </c>
      <c r="E8" s="477">
        <f>industrie!E18</f>
        <v>2906.0896691857711</v>
      </c>
      <c r="F8" s="477">
        <f>industrie!F18</f>
        <v>10035.548438927539</v>
      </c>
      <c r="G8" s="477">
        <f>industrie!G18</f>
        <v>0</v>
      </c>
      <c r="H8" s="477">
        <f>industrie!H18</f>
        <v>0</v>
      </c>
      <c r="I8" s="477">
        <f>industrie!I18</f>
        <v>0</v>
      </c>
      <c r="J8" s="477">
        <f>industrie!J18</f>
        <v>158.06877000750001</v>
      </c>
      <c r="K8" s="477">
        <f>industrie!K18</f>
        <v>0</v>
      </c>
      <c r="L8" s="477">
        <f>industrie!L18</f>
        <v>0</v>
      </c>
      <c r="M8" s="477">
        <f>industrie!M18</f>
        <v>0</v>
      </c>
      <c r="N8" s="477">
        <f>industrie!N18</f>
        <v>10499.110005856044</v>
      </c>
      <c r="O8" s="477">
        <f>industrie!O18</f>
        <v>0</v>
      </c>
      <c r="P8" s="478">
        <f>industrie!P18</f>
        <v>0</v>
      </c>
      <c r="Q8" s="476">
        <f t="shared" si="0"/>
        <v>107220.56575217599</v>
      </c>
    </row>
    <row r="9" spans="1:17" s="482" customFormat="1">
      <c r="A9" s="480" t="s">
        <v>561</v>
      </c>
      <c r="B9" s="481">
        <f>transport!B14</f>
        <v>78.958304328803976</v>
      </c>
      <c r="C9" s="481">
        <f>transport!C14</f>
        <v>0</v>
      </c>
      <c r="D9" s="481">
        <f>transport!D14</f>
        <v>263.66655585521482</v>
      </c>
      <c r="E9" s="481">
        <f>transport!E14</f>
        <v>393.18889695744184</v>
      </c>
      <c r="F9" s="481">
        <f>transport!F14</f>
        <v>0</v>
      </c>
      <c r="G9" s="481">
        <f>transport!G14</f>
        <v>134076.48059472488</v>
      </c>
      <c r="H9" s="481">
        <f>transport!H14</f>
        <v>30379.074298240164</v>
      </c>
      <c r="I9" s="481">
        <f>transport!I14</f>
        <v>0</v>
      </c>
      <c r="J9" s="481">
        <f>transport!J14</f>
        <v>0</v>
      </c>
      <c r="K9" s="481">
        <f>transport!K14</f>
        <v>0</v>
      </c>
      <c r="L9" s="481">
        <f>transport!L14</f>
        <v>0</v>
      </c>
      <c r="M9" s="481">
        <f>transport!M14</f>
        <v>8729.6540082831161</v>
      </c>
      <c r="N9" s="481">
        <f>transport!N14</f>
        <v>0</v>
      </c>
      <c r="O9" s="481">
        <f>transport!O14</f>
        <v>0</v>
      </c>
      <c r="P9" s="481">
        <f>transport!P14</f>
        <v>0</v>
      </c>
      <c r="Q9" s="480">
        <f>SUM(B9:P9)</f>
        <v>173921.02265838961</v>
      </c>
    </row>
    <row r="10" spans="1:17">
      <c r="A10" s="476" t="s">
        <v>551</v>
      </c>
      <c r="B10" s="477">
        <f>transport!B54</f>
        <v>0</v>
      </c>
      <c r="C10" s="477">
        <f>transport!C54</f>
        <v>0</v>
      </c>
      <c r="D10" s="477">
        <f>transport!D54</f>
        <v>0</v>
      </c>
      <c r="E10" s="477">
        <f>transport!E54</f>
        <v>0</v>
      </c>
      <c r="F10" s="477">
        <f>transport!F54</f>
        <v>0</v>
      </c>
      <c r="G10" s="477">
        <f>transport!G54</f>
        <v>1609.6399218629883</v>
      </c>
      <c r="H10" s="477">
        <f>transport!H54</f>
        <v>0</v>
      </c>
      <c r="I10" s="477">
        <f>transport!I54</f>
        <v>0</v>
      </c>
      <c r="J10" s="477">
        <f>transport!J54</f>
        <v>0</v>
      </c>
      <c r="K10" s="477">
        <f>transport!K54</f>
        <v>0</v>
      </c>
      <c r="L10" s="477">
        <f>transport!L54</f>
        <v>0</v>
      </c>
      <c r="M10" s="477">
        <f>transport!M54</f>
        <v>91.420441683431008</v>
      </c>
      <c r="N10" s="477">
        <f>transport!N54</f>
        <v>0</v>
      </c>
      <c r="O10" s="477">
        <f>transport!O54</f>
        <v>0</v>
      </c>
      <c r="P10" s="478">
        <f>transport!P54</f>
        <v>0</v>
      </c>
      <c r="Q10" s="476">
        <f t="shared" si="0"/>
        <v>1701.0603635464192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789.18753801582295</v>
      </c>
      <c r="C14" s="484"/>
      <c r="D14" s="484">
        <f>'SEAP template'!E25</f>
        <v>1579.69597792484</v>
      </c>
      <c r="E14" s="484"/>
      <c r="F14" s="484"/>
      <c r="G14" s="484"/>
      <c r="H14" s="484"/>
      <c r="I14" s="484"/>
      <c r="J14" s="484"/>
      <c r="K14" s="484"/>
      <c r="L14" s="484"/>
      <c r="M14" s="484"/>
      <c r="N14" s="484"/>
      <c r="O14" s="484"/>
      <c r="P14" s="485"/>
      <c r="Q14" s="476">
        <f t="shared" si="0"/>
        <v>2368.8835159406631</v>
      </c>
    </row>
    <row r="15" spans="1:17" s="486" customFormat="1">
      <c r="A15" s="1039" t="s">
        <v>555</v>
      </c>
      <c r="B15" s="987">
        <f ca="1">SUM(B4:B14)</f>
        <v>92899.372929016259</v>
      </c>
      <c r="C15" s="987">
        <f t="shared" ref="C15:Q15" ca="1" si="1">SUM(C4:C14)</f>
        <v>256.33928571428572</v>
      </c>
      <c r="D15" s="987">
        <f t="shared" ca="1" si="1"/>
        <v>100029.78288341737</v>
      </c>
      <c r="E15" s="987">
        <f t="shared" si="1"/>
        <v>14458.449497742735</v>
      </c>
      <c r="F15" s="987">
        <f t="shared" ca="1" si="1"/>
        <v>61955.122831256311</v>
      </c>
      <c r="G15" s="987">
        <f t="shared" si="1"/>
        <v>135686.12051658786</v>
      </c>
      <c r="H15" s="987">
        <f t="shared" si="1"/>
        <v>30379.074298240164</v>
      </c>
      <c r="I15" s="987">
        <f t="shared" si="1"/>
        <v>0</v>
      </c>
      <c r="J15" s="987">
        <f t="shared" si="1"/>
        <v>248.62433853651851</v>
      </c>
      <c r="K15" s="987">
        <f t="shared" si="1"/>
        <v>0</v>
      </c>
      <c r="L15" s="987">
        <f t="shared" ca="1" si="1"/>
        <v>0</v>
      </c>
      <c r="M15" s="987">
        <f t="shared" si="1"/>
        <v>8821.074449966547</v>
      </c>
      <c r="N15" s="987">
        <f t="shared" ca="1" si="1"/>
        <v>23673.664613674904</v>
      </c>
      <c r="O15" s="987">
        <f t="shared" si="1"/>
        <v>397.0866666666667</v>
      </c>
      <c r="P15" s="987">
        <f t="shared" si="1"/>
        <v>2040.1333333333332</v>
      </c>
      <c r="Q15" s="987">
        <f t="shared" ca="1" si="1"/>
        <v>470844.84564415307</v>
      </c>
    </row>
    <row r="17" spans="1:17">
      <c r="A17" s="487" t="s">
        <v>556</v>
      </c>
      <c r="B17" s="786">
        <f ca="1">huishoudens!B10</f>
        <v>0.20903297383441052</v>
      </c>
      <c r="C17" s="786">
        <f ca="1">huishoudens!C10</f>
        <v>0.18661854926019486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6249.0256970892033</v>
      </c>
      <c r="C22" s="477">
        <f t="shared" ref="C22:C32" ca="1" si="3">C4*$C$17</f>
        <v>0</v>
      </c>
      <c r="D22" s="477">
        <f t="shared" ref="D22:D32" si="4">D4*$D$17</f>
        <v>9302.5720842017272</v>
      </c>
      <c r="E22" s="477">
        <f t="shared" ref="E22:E32" si="5">E4*$E$17</f>
        <v>2489.749672028328</v>
      </c>
      <c r="F22" s="477">
        <f t="shared" ref="F22:F32" si="6">F4*$F$17</f>
        <v>12457.808556728434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30499.156010047693</v>
      </c>
    </row>
    <row r="23" spans="1:17">
      <c r="A23" s="476" t="s">
        <v>156</v>
      </c>
      <c r="B23" s="477">
        <f t="shared" ca="1" si="2"/>
        <v>3134.6166329322582</v>
      </c>
      <c r="C23" s="477">
        <f t="shared" ca="1" si="3"/>
        <v>47.837665618394595</v>
      </c>
      <c r="D23" s="477">
        <f t="shared" ca="1" si="4"/>
        <v>2869.4022411045798</v>
      </c>
      <c r="E23" s="477">
        <f t="shared" si="5"/>
        <v>39.214423706562158</v>
      </c>
      <c r="F23" s="477">
        <f t="shared" ca="1" si="6"/>
        <v>709.93131343528057</v>
      </c>
      <c r="G23" s="477">
        <f t="shared" si="7"/>
        <v>0</v>
      </c>
      <c r="H23" s="477">
        <f t="shared" si="8"/>
        <v>0</v>
      </c>
      <c r="I23" s="477">
        <f t="shared" si="9"/>
        <v>0</v>
      </c>
      <c r="J23" s="477">
        <f t="shared" si="10"/>
        <v>2.100577821838091E-2</v>
      </c>
      <c r="K23" s="477">
        <f t="shared" si="11"/>
        <v>0</v>
      </c>
      <c r="L23" s="477">
        <f t="shared" ca="1" si="12"/>
        <v>0</v>
      </c>
      <c r="M23" s="477">
        <f t="shared" si="13"/>
        <v>0</v>
      </c>
      <c r="N23" s="477">
        <f t="shared" ca="1" si="14"/>
        <v>0</v>
      </c>
      <c r="O23" s="477">
        <f t="shared" si="15"/>
        <v>0</v>
      </c>
      <c r="P23" s="478">
        <f t="shared" si="16"/>
        <v>0</v>
      </c>
      <c r="Q23" s="476">
        <f t="shared" ref="Q23:Q32" ca="1" si="17">SUM(B23:P23)</f>
        <v>6801.0232825752946</v>
      </c>
    </row>
    <row r="24" spans="1:17">
      <c r="A24" s="476" t="s">
        <v>194</v>
      </c>
      <c r="B24" s="477">
        <f t="shared" ca="1" si="2"/>
        <v>146.20414192197561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146.20414192197561</v>
      </c>
    </row>
    <row r="25" spans="1:17">
      <c r="A25" s="476" t="s">
        <v>112</v>
      </c>
      <c r="B25" s="477">
        <f t="shared" ca="1" si="2"/>
        <v>130.56935902578908</v>
      </c>
      <c r="C25" s="477">
        <f t="shared" ca="1" si="3"/>
        <v>0</v>
      </c>
      <c r="D25" s="477">
        <f t="shared" si="4"/>
        <v>25.008791649351419</v>
      </c>
      <c r="E25" s="477">
        <f t="shared" si="5"/>
        <v>4.1677057382014224</v>
      </c>
      <c r="F25" s="477">
        <f t="shared" si="6"/>
        <v>694.78649258806672</v>
      </c>
      <c r="G25" s="477">
        <f t="shared" si="7"/>
        <v>0</v>
      </c>
      <c r="H25" s="477">
        <f t="shared" si="8"/>
        <v>0</v>
      </c>
      <c r="I25" s="477">
        <f t="shared" si="9"/>
        <v>0</v>
      </c>
      <c r="J25" s="477">
        <f t="shared" si="10"/>
        <v>32.03566548105416</v>
      </c>
      <c r="K25" s="477">
        <f t="shared" si="11"/>
        <v>0</v>
      </c>
      <c r="L25" s="477">
        <f t="shared" si="12"/>
        <v>0</v>
      </c>
      <c r="M25" s="477">
        <f t="shared" si="13"/>
        <v>0</v>
      </c>
      <c r="N25" s="477">
        <f t="shared" si="14"/>
        <v>0</v>
      </c>
      <c r="O25" s="477">
        <f t="shared" si="15"/>
        <v>0</v>
      </c>
      <c r="P25" s="478">
        <f t="shared" si="16"/>
        <v>0</v>
      </c>
      <c r="Q25" s="476">
        <f t="shared" ca="1" si="17"/>
        <v>886.56801448246279</v>
      </c>
    </row>
    <row r="26" spans="1:17">
      <c r="A26" s="476" t="s">
        <v>635</v>
      </c>
      <c r="B26" s="477">
        <f t="shared" ca="1" si="2"/>
        <v>9577.1452525877012</v>
      </c>
      <c r="C26" s="477">
        <f t="shared" ca="1" si="3"/>
        <v>0</v>
      </c>
      <c r="D26" s="477">
        <f t="shared" si="4"/>
        <v>7636.6737936710797</v>
      </c>
      <c r="E26" s="477">
        <f t="shared" si="5"/>
        <v>659.68235490517009</v>
      </c>
      <c r="F26" s="477">
        <f t="shared" si="6"/>
        <v>2679.4914331936529</v>
      </c>
      <c r="G26" s="477">
        <f t="shared" si="7"/>
        <v>0</v>
      </c>
      <c r="H26" s="477">
        <f t="shared" si="8"/>
        <v>0</v>
      </c>
      <c r="I26" s="477">
        <f t="shared" si="9"/>
        <v>0</v>
      </c>
      <c r="J26" s="477">
        <f t="shared" si="10"/>
        <v>55.956344582654999</v>
      </c>
      <c r="K26" s="477">
        <f t="shared" si="11"/>
        <v>0</v>
      </c>
      <c r="L26" s="477">
        <f t="shared" si="12"/>
        <v>0</v>
      </c>
      <c r="M26" s="477">
        <f t="shared" si="13"/>
        <v>0</v>
      </c>
      <c r="N26" s="477">
        <f t="shared" si="14"/>
        <v>0</v>
      </c>
      <c r="O26" s="477">
        <f t="shared" si="15"/>
        <v>0</v>
      </c>
      <c r="P26" s="478">
        <f t="shared" si="16"/>
        <v>0</v>
      </c>
      <c r="Q26" s="476">
        <f t="shared" ca="1" si="17"/>
        <v>20608.949178940256</v>
      </c>
    </row>
    <row r="27" spans="1:17" s="482" customFormat="1">
      <c r="A27" s="480" t="s">
        <v>561</v>
      </c>
      <c r="B27" s="780">
        <f t="shared" ca="1" si="2"/>
        <v>16.504889162772304</v>
      </c>
      <c r="C27" s="481">
        <f t="shared" ca="1" si="3"/>
        <v>0</v>
      </c>
      <c r="D27" s="481">
        <f t="shared" si="4"/>
        <v>53.260644282753397</v>
      </c>
      <c r="E27" s="481">
        <f t="shared" si="5"/>
        <v>89.253879609339307</v>
      </c>
      <c r="F27" s="481">
        <f t="shared" si="6"/>
        <v>0</v>
      </c>
      <c r="G27" s="481">
        <f t="shared" si="7"/>
        <v>35798.420318791548</v>
      </c>
      <c r="H27" s="481">
        <f t="shared" si="8"/>
        <v>7564.389500261801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43521.829232108212</v>
      </c>
    </row>
    <row r="28" spans="1:17">
      <c r="A28" s="476" t="s">
        <v>551</v>
      </c>
      <c r="B28" s="477">
        <f t="shared" ca="1" si="2"/>
        <v>0</v>
      </c>
      <c r="C28" s="477">
        <f t="shared" ca="1" si="3"/>
        <v>0</v>
      </c>
      <c r="D28" s="477">
        <f t="shared" si="4"/>
        <v>0</v>
      </c>
      <c r="E28" s="477">
        <f t="shared" si="5"/>
        <v>0</v>
      </c>
      <c r="F28" s="477">
        <f t="shared" si="6"/>
        <v>0</v>
      </c>
      <c r="G28" s="477">
        <f t="shared" si="7"/>
        <v>429.7738591374179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429.7738591374179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164.96621798450437</v>
      </c>
      <c r="C32" s="477">
        <f t="shared" ca="1" si="3"/>
        <v>0</v>
      </c>
      <c r="D32" s="477">
        <f t="shared" si="4"/>
        <v>319.09858754081768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484.06480552532207</v>
      </c>
    </row>
    <row r="33" spans="1:17" s="486" customFormat="1">
      <c r="A33" s="1039" t="s">
        <v>555</v>
      </c>
      <c r="B33" s="987">
        <f ca="1">SUM(B22:B32)</f>
        <v>19419.032190704202</v>
      </c>
      <c r="C33" s="987">
        <f t="shared" ref="C33:Q33" ca="1" si="18">SUM(C22:C32)</f>
        <v>47.837665618394595</v>
      </c>
      <c r="D33" s="987">
        <f t="shared" ca="1" si="18"/>
        <v>20206.016142450309</v>
      </c>
      <c r="E33" s="987">
        <f t="shared" si="18"/>
        <v>3282.068035987601</v>
      </c>
      <c r="F33" s="987">
        <f t="shared" ca="1" si="18"/>
        <v>16542.017795945434</v>
      </c>
      <c r="G33" s="987">
        <f t="shared" si="18"/>
        <v>36228.194177928963</v>
      </c>
      <c r="H33" s="987">
        <f t="shared" si="18"/>
        <v>7564.389500261801</v>
      </c>
      <c r="I33" s="987">
        <f t="shared" si="18"/>
        <v>0</v>
      </c>
      <c r="J33" s="987">
        <f t="shared" si="18"/>
        <v>88.01301584192754</v>
      </c>
      <c r="K33" s="987">
        <f t="shared" si="18"/>
        <v>0</v>
      </c>
      <c r="L33" s="987">
        <f t="shared" ca="1" si="18"/>
        <v>0</v>
      </c>
      <c r="M33" s="987">
        <f t="shared" si="18"/>
        <v>0</v>
      </c>
      <c r="N33" s="987">
        <f t="shared" ca="1" si="18"/>
        <v>0</v>
      </c>
      <c r="O33" s="987">
        <f t="shared" si="18"/>
        <v>0</v>
      </c>
      <c r="P33" s="987">
        <f t="shared" si="18"/>
        <v>0</v>
      </c>
      <c r="Q33" s="987">
        <f t="shared" ca="1" si="18"/>
        <v>103377.56852473864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193.49682045051193</v>
      </c>
      <c r="C5" s="1056"/>
      <c r="D5" s="1056"/>
      <c r="E5" s="1056"/>
      <c r="F5" s="1056"/>
      <c r="G5" s="1056"/>
      <c r="H5" s="1056"/>
      <c r="I5" s="1056"/>
      <c r="J5" s="1056"/>
      <c r="K5" s="1056"/>
      <c r="L5" s="1056"/>
      <c r="M5" s="1056"/>
      <c r="N5" s="1056"/>
      <c r="O5" s="1056"/>
      <c r="P5" s="1057">
        <f>'SEAP template'!Q73</f>
        <v>0</v>
      </c>
    </row>
    <row r="6" spans="1:16">
      <c r="A6" s="1058" t="s">
        <v>251</v>
      </c>
      <c r="B6" s="1056">
        <f>'SEAP template'!B74</f>
        <v>4807.5490275973007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40.582822085889568</v>
      </c>
      <c r="C8" s="1056">
        <f>'SEAP template'!C76</f>
        <v>148.41717791411043</v>
      </c>
      <c r="D8" s="1056">
        <f>'SEAP template'!D76</f>
        <v>174.6084446048358</v>
      </c>
      <c r="E8" s="1056">
        <f>'SEAP template'!E76</f>
        <v>0</v>
      </c>
      <c r="F8" s="1056">
        <f>'SEAP template'!F76</f>
        <v>0</v>
      </c>
      <c r="G8" s="1056">
        <f>'SEAP template'!G76</f>
        <v>0</v>
      </c>
      <c r="H8" s="1056">
        <f>'SEAP template'!H76</f>
        <v>0</v>
      </c>
      <c r="I8" s="1056">
        <f>'SEAP template'!I76</f>
        <v>47.744496571634784</v>
      </c>
      <c r="J8" s="1056">
        <f>'SEAP template'!J76</f>
        <v>0</v>
      </c>
      <c r="K8" s="1056">
        <f>'SEAP template'!K76</f>
        <v>0</v>
      </c>
      <c r="L8" s="1056">
        <f>'SEAP template'!L76</f>
        <v>0</v>
      </c>
      <c r="M8" s="1056">
        <f>'SEAP template'!M76</f>
        <v>0</v>
      </c>
      <c r="N8" s="1056">
        <f>'SEAP template'!N76</f>
        <v>0</v>
      </c>
      <c r="O8" s="1056">
        <f>'SEAP template'!O76</f>
        <v>0</v>
      </c>
      <c r="P8" s="1057">
        <f>'SEAP template'!Q76</f>
        <v>35.270905810176835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5041.6286701337021</v>
      </c>
      <c r="C10" s="1060">
        <f>SUM(C4:C9)</f>
        <v>148.41717791411043</v>
      </c>
      <c r="D10" s="1060">
        <f t="shared" ref="D10:H10" si="0">SUM(D8:D9)</f>
        <v>174.6084446048358</v>
      </c>
      <c r="E10" s="1060">
        <f t="shared" si="0"/>
        <v>0</v>
      </c>
      <c r="F10" s="1060">
        <f t="shared" si="0"/>
        <v>0</v>
      </c>
      <c r="G10" s="1060">
        <f t="shared" si="0"/>
        <v>0</v>
      </c>
      <c r="H10" s="1060">
        <f t="shared" si="0"/>
        <v>0</v>
      </c>
      <c r="I10" s="1060">
        <f>SUM(I8:I9)</f>
        <v>47.744496571634784</v>
      </c>
      <c r="J10" s="1060">
        <f>SUM(J8:J9)</f>
        <v>0</v>
      </c>
      <c r="K10" s="1060">
        <f t="shared" ref="K10:L10" si="1">SUM(K8:K9)</f>
        <v>0</v>
      </c>
      <c r="L10" s="1060">
        <f t="shared" si="1"/>
        <v>0</v>
      </c>
      <c r="M10" s="1060">
        <f>SUM(M8:M9)</f>
        <v>0</v>
      </c>
      <c r="N10" s="1060">
        <f>SUM(N8:N9)</f>
        <v>0</v>
      </c>
      <c r="O10" s="1060">
        <f>SUM(O8:O9)</f>
        <v>0</v>
      </c>
      <c r="P10" s="1060">
        <f>SUM(P8:P9)</f>
        <v>35.270905810176835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0.20903297383441052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55.042177914110425</v>
      </c>
      <c r="C17" s="1062">
        <f>'SEAP template'!C87</f>
        <v>201.2971078001753</v>
      </c>
      <c r="D17" s="1057">
        <f>'SEAP template'!D87</f>
        <v>236.82012682373562</v>
      </c>
      <c r="E17" s="1057">
        <f>'SEAP template'!E87</f>
        <v>0</v>
      </c>
      <c r="F17" s="1057">
        <f>'SEAP template'!F87</f>
        <v>0</v>
      </c>
      <c r="G17" s="1057">
        <f>'SEAP template'!G87</f>
        <v>0</v>
      </c>
      <c r="H17" s="1057">
        <f>'SEAP template'!H87</f>
        <v>0</v>
      </c>
      <c r="I17" s="1057">
        <f>'SEAP template'!I87</f>
        <v>64.755503428365202</v>
      </c>
      <c r="J17" s="1057">
        <f>'SEAP template'!J87</f>
        <v>0</v>
      </c>
      <c r="K17" s="1057">
        <f>'SEAP template'!K87</f>
        <v>0</v>
      </c>
      <c r="L17" s="1057">
        <f>'SEAP template'!L87</f>
        <v>0</v>
      </c>
      <c r="M17" s="1057">
        <f>'SEAP template'!M87</f>
        <v>0</v>
      </c>
      <c r="N17" s="1057">
        <f>'SEAP template'!N87</f>
        <v>0</v>
      </c>
      <c r="O17" s="1057">
        <f>'SEAP template'!O87</f>
        <v>0</v>
      </c>
      <c r="P17" s="1057">
        <f>'SEAP template'!Q87</f>
        <v>47.837665618394595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55.042177914110425</v>
      </c>
      <c r="C20" s="1060">
        <f>SUM(C17:C19)</f>
        <v>201.2971078001753</v>
      </c>
      <c r="D20" s="1060">
        <f t="shared" ref="D20:H20" si="2">SUM(D17:D19)</f>
        <v>236.82012682373562</v>
      </c>
      <c r="E20" s="1060">
        <f t="shared" si="2"/>
        <v>0</v>
      </c>
      <c r="F20" s="1060">
        <f t="shared" si="2"/>
        <v>0</v>
      </c>
      <c r="G20" s="1060">
        <f t="shared" si="2"/>
        <v>0</v>
      </c>
      <c r="H20" s="1060">
        <f t="shared" si="2"/>
        <v>0</v>
      </c>
      <c r="I20" s="1060">
        <f>SUM(I17:I19)</f>
        <v>64.755503428365202</v>
      </c>
      <c r="J20" s="1060">
        <f>SUM(J17:J19)</f>
        <v>0</v>
      </c>
      <c r="K20" s="1060">
        <f t="shared" ref="K20:L20" si="3">SUM(K17:K19)</f>
        <v>0</v>
      </c>
      <c r="L20" s="1060">
        <f t="shared" si="3"/>
        <v>0</v>
      </c>
      <c r="M20" s="1060">
        <f>SUM(M17:M19)</f>
        <v>0</v>
      </c>
      <c r="N20" s="1060">
        <f>SUM(N17:N19)</f>
        <v>0</v>
      </c>
      <c r="O20" s="1060">
        <f>SUM(O17:O19)</f>
        <v>0</v>
      </c>
      <c r="P20" s="1060">
        <f>SUM(P17:P19)</f>
        <v>47.837665618394595</v>
      </c>
    </row>
    <row r="22" spans="1:16">
      <c r="A22" s="487" t="s">
        <v>862</v>
      </c>
      <c r="B22" s="786" t="s">
        <v>856</v>
      </c>
      <c r="C22" s="786">
        <f ca="1">'EF ele_warmte'!B22</f>
        <v>0.18661854926019486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0.20903297383441052</v>
      </c>
      <c r="C17" s="524">
        <f ca="1">'EF ele_warmte'!B22</f>
        <v>0.18661854926019486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2019-08-12T08:32:57Z</dcterms:modified>
</cp:coreProperties>
</file>