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<sst xmlns="http://schemas.openxmlformats.org/spreadsheetml/2006/main" count="2383" uniqueCount="881">
  <si>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</si>
  <si>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</si>
  <si>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</si>
  <si>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</si>
  <si>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</si>
  <si>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</si>
  <si>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</si>
  <si>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</si>
  <si>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</si>
  <si>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</si>
  <si>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</si>
  <si>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</si>
  <si>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</si>
  <si>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</si>
  <si>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</si>
  <si>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</si>
  <si>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</si>
  <si>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</si>
  <si>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</si>
  <si>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</si>
  <si>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</si>
  <si>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</si>
  <si>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</si>
  <si>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</si>
  <si>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</si>
  <si>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</si>
  <si>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</si>
  <si>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</si>
  <si>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</si>
  <si>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</si>
  <si>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</si>
  <si>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</si>
  <si>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</si>
  <si>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</si>
  <si>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</si>
  <si>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</si>
  <si>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</si>
  <si>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</si>
  <si>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</si>
  <si>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</si>
  <si>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</si>
  <si>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</si>
  <si>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</si>
  <si>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</si>
  <si>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</si>
  <si>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</si>
  <si>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</si>
  <si>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</si>
  <si>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</si>
  <si>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</si>
  <si>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</si>
  <si>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</si>
  <si>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</si>
  <si>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</si>
  <si>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</si>
  <si>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</si>
  <si>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</si>
  <si>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</si>
  <si>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</si>
  <si>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</si>
  <si>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</si>
  <si>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</si>
  <si>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</si>
  <si>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</si>
  <si>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</si>
  <si>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</si>
  <si>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</si>
  <si>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</si>
  <si>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</si>
  <si>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</si>
  <si>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</si>
  <si>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</si>
  <si>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</si>
  <si>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</si>
  <si>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</si>
  <si>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</si>
  <si>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</si>
  <si>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</si>
  <si>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</si>
  <si>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</si>
  <si>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</si>
  <si>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</si>
  <si>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</si>
  <si>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</si>
  <si>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</si>
  <si>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</si>
  <si>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</si>
  <si>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</si>
  <si>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</si>
  <si>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</si>
  <si>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</si>
  <si>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</si>
  <si>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</si>
  <si>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</si>
  <si>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</si>
  <si>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</si>
  <si>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</si>
  <si>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</si>
  <si>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</si>
  <si>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</si>
  <si>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</si>
  <si>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</si>
  <si>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</si>
  <si>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</si>
  <si>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</si>
  <si>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</si>
  <si>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</si>
  <si>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</si>
  <si>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</si>
  <si>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</si>
  <si>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</si>
  <si>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</si>
  <si>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</si>
  <si>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</si>
  <si>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</si>
  <si>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</si>
  <si>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</si>
  <si>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</si>
  <si>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</si>
  <si>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</si>
  <si>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</si>
  <si>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</si>
  <si>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</si>
  <si>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</si>
  <si>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</si>
  <si>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</si>
  <si>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</si>
  <si>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</si>
  <si>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</si>
  <si>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</si>
  <si>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</si>
  <si>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</si>
  <si>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</si>
  <si>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</si>
  <si>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</si>
  <si>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</si>
  <si>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</si>
  <si>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</si>
  <si>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</si>
  <si>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</si>
  <si>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</si>
  <si>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</si>
  <si>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</si>
  <si>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</si>
  <si>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</si>
  <si>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</si>
  <si>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</si>
  <si>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</si>
  <si>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</si>
  <si>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</si>
  <si>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</si>
  <si>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</si>
  <si>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</si>
  <si>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</si>
  <si>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</si>
  <si>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</si>
  <si>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</si>
  <si>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</si>
  <si>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</si>
  <si>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</si>
  <si>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</si>
  <si>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</si>
  <si>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</si>
  <si>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</si>
  <si>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</si>
  <si>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</si>
  <si>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</si>
  <si>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</si>
  <si>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</si>
  <si>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</si>
  <si>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</si>
  <si>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</si>
  <si>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</si>
  <si>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</si>
  <si>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</si>
  <si>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</si>
  <si>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</si>
  <si>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</si>
  <si>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</si>
  <si>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</si>
  <si>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</si>
  <si>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</si>
  <si>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</si>
  <si>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</si>
  <si>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</si>
  <si>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</si>
  <si>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</si>
  <si>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</si>
  <si>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</si>
  <si>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</si>
  <si>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</si>
  <si>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</si>
  <si>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</si>
  <si>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</si>
  <si>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</si>
  <si>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</si>
  <si>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</si>
  <si>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</si>
  <si>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</si>
  <si>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</si>
  <si>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</si>
  <si>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</si>
  <si>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</si>
  <si>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</si>
  <si>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</si>
  <si>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</si>
  <si>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</si>
  <si>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</si>
  <si>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</si>
  <si>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</si>
  <si>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</si>
  <si>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</si>
  <si>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</si>
  <si>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</si>
  <si>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</si>
  <si>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</si>
  <si>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</si>
  <si>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</si>
  <si>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</si>
  <si>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</si>
  <si>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</si>
  <si>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</si>
  <si>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</si>
  <si>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</si>
  <si>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</si>
  <si>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</si>
  <si>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</si>
  <si>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</si>
  <si>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</si>
  <si>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</si>
  <si>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</si>
  <si>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</si>
  <si>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</si>
  <si>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</si>
  <si>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</si>
  <si>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</si>
  <si>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</si>
  <si>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</si>
  <si>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</si>
  <si>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</si>
  <si>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</si>
  <si>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</si>
  <si>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</si>
  <si>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</si>
  <si>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</si>
  <si>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</si>
  <si>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</si>
  <si>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</si>
  <si>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</si>
  <si>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</si>
  <si>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</si>
  <si>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</si>
  <si>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</si>
  <si>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</si>
  <si>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</si>
  <si>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</si>
  <si>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</si>
  <si>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</si>
  <si>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</si>
  <si>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</si>
  <si>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</si>
  <si>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</si>
  <si>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</si>
  <si>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</si>
  <si>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</si>
  <si>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</si>
  <si>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</si>
  <si>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</si>
  <si>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</si>
  <si>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</si>
  <si>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</si>
  <si>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</si>
  <si>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</si>
  <si>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</si>
  <si>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</si>
  <si>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</si>
  <si>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</si>
  <si>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</si>
  <si>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</si>
  <si>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</si>
  <si>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</si>
  <si>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</si>
  <si>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</si>
  <si>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</si>
  <si>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</si>
  <si>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</si>
  <si>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</si>
  <si>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</si>
  <si>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</si>
  <si>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</si>
  <si>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</si>
  <si>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</si>
  <si>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</si>
  <si>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</si>
  <si>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</si>
  <si>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</si>
  <si>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</si>
  <si>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</si>
  <si>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</si>
  <si>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</si>
  <si>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</si>
  <si>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</si>
  <si>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</si>
  <si>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</si>
  <si>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</si>
  <si>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</si>
  <si>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</si>
  <si>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</si>
  <si>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</si>
  <si>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</si>
  <si>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</si>
  <si>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</si>
  <si>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</si>
  <si>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</si>
  <si>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</si>
  <si>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</si>
  <si>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</si>
  <si>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</si>
  <si>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</si>
  <si>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</si>
  <si>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</si>
  <si>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</si>
  <si>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</si>
  <si>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</si>
  <si>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</si>
  <si>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</si>
  <si>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</si>
  <si>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</si>
  <si>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</si>
  <si>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</si>
  <si>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</si>
  <si>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</si>
  <si>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</si>
  <si>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</si>
  <si>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</si>
  <si>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</si>
  <si>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</si>
  <si>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</si>
  <si>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</si>
  <si>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</si>
  <si>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</si>
  <si>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</si>
  <si>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</si>
  <si>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</si>
  <si>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</si>
  <si>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</si>
  <si>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</si>
  <si>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</si>
  <si>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</si>
  <si>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</si>
  <si>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</si>
  <si>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</si>
  <si>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</si>
  <si>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</si>
  <si>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</si>
  <si>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</si>
  <si>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</si>
  <si>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</si>
  <si>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</si>
  <si>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</si>
  <si>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</si>
  <si>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</si>
  <si>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</si>
  <si>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</si>
  <si>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</si>
  <si>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</si>
  <si>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</si>
  <si>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</si>
  <si>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</si>
  <si>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</si>
  <si>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</si>
  <si>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</si>
  <si>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</si>
  <si>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</si>
  <si>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</si>
  <si>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</si>
  <si>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</si>
  <si>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</si>
  <si>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</si>
  <si>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</si>
  <si>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</si>
  <si>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</si>
  <si>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</si>
  <si>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</si>
  <si>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</si>
  <si>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</si>
  <si>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</si>
  <si>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</si>
  <si>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</si>
  <si>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</si>
  <si>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</si>
  <si>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</si>
  <si>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</si>
  <si>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</si>
  <si>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</si>
  <si>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</si>
  <si>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</si>
  <si>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</si>
  <si>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</si>
  <si>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</si>
  <si>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</si>
  <si>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</si>
  <si>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</si>
  <si>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</si>
  <si>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</si>
  <si>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</si>
  <si>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</si>
  <si>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</si>
  <si>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</si>
  <si>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</si>
  <si>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</si>
  <si>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</si>
  <si>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</si>
  <si>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</si>
  <si>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</si>
  <si>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</si>
  <si>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</si>
  <si>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</si>
  <si>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</si>
  <si>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</si>
  <si>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</si>
  <si>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</si>
  <si>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</si>
  <si>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</si>
  <si>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</si>
  <si>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</si>
  <si>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</si>
  <si>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</si>
  <si>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</si>
  <si>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</si>
  <si>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</si>
  <si>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</si>
  <si>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</si>
  <si>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</si>
  <si>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</si>
  <si>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</si>
  <si>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</si>
  <si>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</si>
  <si>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</si>
  <si>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</si>
  <si>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</si>
  <si>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</si>
  <si>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</si>
  <si>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</si>
  <si>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</si>
  <si>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</si>
  <si>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</si>
  <si>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</si>
  <si>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</si>
  <si>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</si>
  <si>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</si>
  <si>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</si>
  <si>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</si>
  <si>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</si>
  <si>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</si>
  <si>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</si>
  <si>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</si>
  <si>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</si>
  <si>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</si>
  <si>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</si>
  <si>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</si>
  <si>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</si>
  <si>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</si>
  <si>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</si>
  <si>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</si>
  <si>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</si>
  <si>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</si>
  <si>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</si>
  <si>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</si>
  <si>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</si>
  <si>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</si>
  <si>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</si>
  <si>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</si>
  <si>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</si>
  <si>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</si>
  <si>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</si>
  <si>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</si>
  <si>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</si>
  <si>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</si>
  <si>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</si>
  <si>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</si>
  <si>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</si>
  <si>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</si>
  <si>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</si>
  <si>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</si>
  <si>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</si>
  <si>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</si>
  <si>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</si>
  <si>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</si>
  <si>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</si>
  <si>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</si>
  <si>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</si>
  <si>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</si>
  <si>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</si>
  <si>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</si>
  <si>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</si>
  <si>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</si>
  <si>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</si>
  <si>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</si>
  <si>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</si>
  <si>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</si>
  <si>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</si>
  <si>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</si>
  <si>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</si>
  <si>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</si>
  <si>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</si>
  <si>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</si>
  <si>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</si>
  <si>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</si>
  <si>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</si>
  <si>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</si>
  <si>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</si>
  <si>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</si>
  <si>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</si>
  <si>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</si>
  <si>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</si>
  <si>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</si>
  <si>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</si>
  <si>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</si>
  <si>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</si>
  <si>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</si>
  <si>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</si>
  <si>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</si>
  <si>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</si>
  <si>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</si>
  <si>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</si>
  <si>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</si>
  <si>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</si>
  <si>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</si>
  <si>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</si>
  <si>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</si>
  <si>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</si>
  <si>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</si>
  <si>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</si>
  <si>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</si>
  <si>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</si>
  <si>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</si>
  <si>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</si>
  <si>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</si>
  <si>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</si>
  <si>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</si>
  <si>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</si>
  <si>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</si>
  <si>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</si>
  <si>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</si>
  <si>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</si>
  <si>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</si>
  <si>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</si>
  <si>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</si>
  <si>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</si>
  <si>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</si>
  <si>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</si>
  <si>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</si>
  <si>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</si>
  <si>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</si>
  <si>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</si>
  <si>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</si>
  <si>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</si>
  <si>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</si>
  <si>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</si>
  <si>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</si>
  <si>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</si>
  <si>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</si>
  <si>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</si>
  <si>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</si>
  <si>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</si>
  <si>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</si>
  <si>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</si>
  <si>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</si>
  <si>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</si>
  <si>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</si>
  <si>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</si>
  <si>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</si>
  <si>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</si>
  <si>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</si>
  <si>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</si>
  <si>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</si>
  <si>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</si>
  <si>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</si>
  <si>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</si>
  <si>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</si>
  <si>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</si>
  <si>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</si>
  <si>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</si>
  <si>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</si>
  <si>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</si>
  <si>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</si>
  <si>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</si>
  <si>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</si>
  <si>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</si>
  <si>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</si>
  <si>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</si>
  <si>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</si>
  <si>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</si>
  <si>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</si>
  <si>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</si>
  <si>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</si>
  <si>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</si>
  <si>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</si>
  <si>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</si>
  <si>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</si>
  <si>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</si>
  <si>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</si>
  <si>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</si>
  <si>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</si>
  <si>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</si>
  <si>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</si>
  <si>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</si>
  <si>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</si>
  <si>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</si>
  <si>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</si>
  <si>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</si>
  <si>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</si>
  <si>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</si>
  <si>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</si>
  <si>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</si>
  <si>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</si>
  <si>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</si>
  <si>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</si>
  <si>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</si>
  <si>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</si>
  <si>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</si>
  <si>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</si>
  <si>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</si>
  <si>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</si>
  <si>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</si>
  <si>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</si>
  <si>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</si>
  <si>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</si>
  <si>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</si>
  <si>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</si>
  <si>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</si>
  <si>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</si>
  <si>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</si>
  <si>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</si>
  <si>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</si>
  <si>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</si>
  <si>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</si>
  <si>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</si>
  <si>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</si>
  <si>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</si>
  <si>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</si>
  <si>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</si>
  <si>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</si>
  <si>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</si>
  <si>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</si>
  <si>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</si>
  <si>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</si>
  <si>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</si>
  <si>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</si>
  <si>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</si>
  <si>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</si>
  <si>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</si>
  <si>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</si>
  <si>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</si>
  <si>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</si>
  <si>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</si>
  <si>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</si>
  <si>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</si>
  <si>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</si>
  <si>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</si>
  <si>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</si>
  <si>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</si>
  <si>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</si>
  <si>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</si>
  <si>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</si>
  <si>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</si>
  <si>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</si>
  <si>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</si>
  <si>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</si>
  <si>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</si>
  <si>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</si>
  <si>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</si>
  <si>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</si>
  <si>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</si>
  <si>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</si>
  <si>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</si>
  <si>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</si>
  <si>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</si>
  <si>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</si>
  <si>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</si>
  <si>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</si>
  <si>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</si>
  <si>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</si>
  <si>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</si>
  <si>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</si>
  <si>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</si>
  <si>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</si>
  <si>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</si>
  <si>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</si>
  <si>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</si>
  <si>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</si>
  <si>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</si>
  <si>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</si>
  <si>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</si>
  <si>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</si>
  <si>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</si>
  <si>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</si>
  <si>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</si>
  <si>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</si>
  <si>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</si>
  <si>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</si>
  <si>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</si>
  <si>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</si>
  <si>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</si>
  <si>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</si>
  <si>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</si>
  <si>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</si>
  <si>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</si>
  <si>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</si>
  <si>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</si>
  <si>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</si>
  <si>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</si>
  <si>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</si>
  <si>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</si>
  <si>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</si>
  <si>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</si>
  <si>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</si>
  <si>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</si>
  <si>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</si>
  <si>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</si>
  <si>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</si>
  <si>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</si>
  <si>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</si>
  <si>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</si>
  <si>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</si>
  <si>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</si>
  <si>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</si>
  <si>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</si>
  <si>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</si>
  <si>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</si>
  <si>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</si>
  <si>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</si>
  <si>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</si>
  <si>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</si>
  <si>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</si>
  <si>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</si>
  <si>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</si>
  <si>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</si>
  <si>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</si>
  <si>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</si>
  <si>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</si>
  <si>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</si>
  <si>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</si>
  <si>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</si>
  <si>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</si>
  <si>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</si>
  <si>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</si>
  <si>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</si>
  <si>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</si>
  <si>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</si>
  <si>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</si>
  <si>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</si>
  <si>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</si>
  <si>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</si>
  <si>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</si>
  <si>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</si>
  <si>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</si>
  <si>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</si>
  <si>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</si>
  <si>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</si>
  <si>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</si>
  <si>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</si>
  <si>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</si>
  <si>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</si>
  <si>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</si>
  <si>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</si>
  <si>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</si>
  <si>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</si>
  <si>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</si>
  <si>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</si>
  <si>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</si>
  <si>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</si>
  <si>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</si>
  <si>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</si>
  <si>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</si>
  <si>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</si>
  <si>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</si>
  <si>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</si>
  <si>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</si>
  <si>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</si>
  <si>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</si>
  <si>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</si>
  <si>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</si>
  <si>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</si>
  <si>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</si>
  <si>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</si>
  <si>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</si>
  <si>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</si>
  <si>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</si>
  <si>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</si>
  <si>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</si>
  <si>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</si>
  <si>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</si>
  <si>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</si>
  <si>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</si>
  <si>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</si>
  <si>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</si>
  <si>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</si>
  <si>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</si>
  <si>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</si>
  <si>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</si>
  <si>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</si>
  <si>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</si>
  <si>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</si>
  <si>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</si>
  <si>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</si>
  <si>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</si>
  <si>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</si>
  <si>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</si>
  <si>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</si>
  <si>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</si>
  <si>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</si>
  <si>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</si>
  <si>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</si>
  <si>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</si>
  <si>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</si>
  <si>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</si>
  <si>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</si>
  <si>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</si>
  <si>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</si>
  <si>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</si>
  <si>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</si>
  <si>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</si>
  <si>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</si>
  <si>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</si>
  <si>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</si>
  <si>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</si>
  <si>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</si>
  <si>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</si>
  <si>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</si>
  <si>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</si>
  <si>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</si>
  <si>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</si>
  <si>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</si>
  <si>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</si>
  <si>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</si>
  <si>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</si>
  <si>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</si>
  <si>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</si>
  <si>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</si>
  <si>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</si>
  <si>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</si>
  <si>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</si>
  <si>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</si>
  <si>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</si>
  <si>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</si>
  <si>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</si>
  <si>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</si>
  <si>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</si>
  <si>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</si>
  <si>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</si>
  <si>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</si>
  <si>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</si>
  <si>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</si>
  <si>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</si>
  <si>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</si>
  <si>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</si>
  <si>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</si>
  <si>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</si>
  <si>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</si>
  <si>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</si>
  <si>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</si>
  <si>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</si>
  <si>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</si>
  <si>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</si>
  <si>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</si>
  <si>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</si>
  <si>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</si>
  <si>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</si>
  <si>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</si>
  <si>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</si>
  <si>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</si>
  <si>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24086</t>
  </si>
  <si>
    <t>OUD-HEVERLEE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</si>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</sst>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96228.697831388068</c:v>
                </c:pt>
                <c:pt idx="1">
                  <c:v>17462.127430643475</c:v>
                </c:pt>
                <c:pt idx="2">
                  <c:v>674.52300000000002</c:v>
                </c:pt>
                <c:pt idx="3">
                  <c:v>563.89141537404294</c:v>
                </c:pt>
                <c:pt idx="4">
                  <c:v>1854.2349407756237</c:v>
                </c:pt>
                <c:pt idx="5">
                  <c:v>94626.780378454234</c:v>
                </c:pt>
                <c:pt idx="6">
                  <c:v>1072.8653003848949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96228.697831388068</c:v>
                </c:pt>
                <c:pt idx="1">
                  <c:v>17462.127430643475</c:v>
                </c:pt>
                <c:pt idx="2">
                  <c:v>674.52300000000002</c:v>
                </c:pt>
                <c:pt idx="3">
                  <c:v>563.89141537404294</c:v>
                </c:pt>
                <c:pt idx="4">
                  <c:v>1854.2349407756237</c:v>
                </c:pt>
                <c:pt idx="5">
                  <c:v>94626.780378454234</c:v>
                </c:pt>
                <c:pt idx="6">
                  <c:v>1072.8653003848949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19706.514023056567</c:v>
                </c:pt>
                <c:pt idx="2">
                  <c:v>3424.6230015282176</c:v>
                </c:pt>
                <c:pt idx="3">
                  <c:v>137.02105291795215</c:v>
                </c:pt>
                <c:pt idx="4">
                  <c:v>137.85711187769161</c:v>
                </c:pt>
                <c:pt idx="5">
                  <c:v>370.52772736834288</c:v>
                </c:pt>
                <c:pt idx="6">
                  <c:v>23670.895051235471</c:v>
                </c:pt>
                <c:pt idx="7">
                  <c:v>271.06002253779457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96992"/>
        <c:axId val="183419264"/>
      </c:barChart>
      <c:catAx>
        <c:axId val="183396992"/>
        <c:scaling>
          <c:orientation val="minMax"/>
        </c:scaling>
        <c:axPos val="b"/>
        <c:numFmt formatCode="General" sourceLinked="0"/>
        <c:tickLblPos val="nextTo"/>
        <c:crossAx val="183419264"/>
        <c:crosses val="autoZero"/>
        <c:auto val="1"/>
        <c:lblAlgn val="ctr"/>
        <c:lblOffset val="100"/>
      </c:catAx>
      <c:valAx>
        <c:axId val="183419264"/>
        <c:scaling>
          <c:orientation val="minMax"/>
        </c:scaling>
        <c:axPos val="l"/>
        <c:majorGridlines>
          <c:spPr>
            <a:ln>
              <a:noFill/>
            </a:ln>
          </c:spPr>
        </c:majorGridlines>
        <c:numFmt formatCode="#,##0" sourceLinked="1"/>
        <c:tickLblPos val="nextTo"/>
        <c:crossAx val="1833969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19706.514023056567</c:v>
                </c:pt>
                <c:pt idx="2">
                  <c:v>3424.6230015282176</c:v>
                </c:pt>
                <c:pt idx="3">
                  <c:v>137.02105291795215</c:v>
                </c:pt>
                <c:pt idx="4">
                  <c:v>137.85711187769161</c:v>
                </c:pt>
                <c:pt idx="5">
                  <c:v>370.52772736834288</c:v>
                </c:pt>
                <c:pt idx="6">
                  <c:v>23670.895051235471</c:v>
                </c:pt>
                <c:pt idx="7">
                  <c:v>271.06002253779457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24086</v>
      </c>
      <c r="B6" s="415"/>
      <c r="C6" s="416"/>
    </row>
    <row r="7" spans="1:7" s="413" customFormat="1" ht="15.75" customHeight="1">
      <c r="A7" s="417" t="str">
        <f>txtMunicipality</f>
        <v>OUD-HEVERLEE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0.20313770311457449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0.20313770311457449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24086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4267</v>
      </c>
      <c r="C9" s="342">
        <v>4389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674.53</v>
      </c>
    </row>
    <row r="15" spans="1:6">
      <c r="A15" s="348" t="s">
        <v>184</v>
      </c>
      <c r="B15" s="334">
        <v>1</v>
      </c>
    </row>
    <row r="16" spans="1:6">
      <c r="A16" s="348" t="s">
        <v>6</v>
      </c>
      <c r="B16" s="334">
        <v>0</v>
      </c>
    </row>
    <row r="17" spans="1:6">
      <c r="A17" s="348" t="s">
        <v>7</v>
      </c>
      <c r="B17" s="334">
        <v>123</v>
      </c>
    </row>
    <row r="18" spans="1:6">
      <c r="A18" s="348" t="s">
        <v>8</v>
      </c>
      <c r="B18" s="334">
        <v>150</v>
      </c>
    </row>
    <row r="19" spans="1:6">
      <c r="A19" s="348" t="s">
        <v>9</v>
      </c>
      <c r="B19" s="334">
        <v>214</v>
      </c>
    </row>
    <row r="20" spans="1:6">
      <c r="A20" s="348" t="s">
        <v>10</v>
      </c>
      <c r="B20" s="334">
        <v>53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72</v>
      </c>
    </row>
    <row r="27" spans="1:6">
      <c r="A27" s="348" t="s">
        <v>17</v>
      </c>
      <c r="B27" s="334">
        <v>0</v>
      </c>
    </row>
    <row r="28" spans="1:6" s="356" customFormat="1">
      <c r="A28" s="355" t="s">
        <v>18</v>
      </c>
      <c r="B28" s="355">
        <v>0</v>
      </c>
    </row>
    <row r="29" spans="1:6">
      <c r="A29" s="355" t="s">
        <v>744</v>
      </c>
      <c r="B29" s="355">
        <v>260</v>
      </c>
      <c r="C29" s="356"/>
      <c r="D29" s="356"/>
      <c r="E29" s="356"/>
      <c r="F29" s="356"/>
    </row>
    <row r="30" spans="1:6">
      <c r="A30" s="341" t="s">
        <v>745</v>
      </c>
      <c r="B30" s="341">
        <v>49</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1588.2429999999999</v>
      </c>
    </row>
    <row r="39" spans="1:6">
      <c r="A39" s="348" t="s">
        <v>30</v>
      </c>
      <c r="B39" s="348" t="s">
        <v>31</v>
      </c>
      <c r="C39" s="334">
        <v>1800</v>
      </c>
      <c r="D39" s="334">
        <v>32382913.149999999</v>
      </c>
      <c r="E39" s="334">
        <v>4199</v>
      </c>
      <c r="F39" s="334">
        <v>17930486.100000001</v>
      </c>
    </row>
    <row r="40" spans="1:6">
      <c r="A40" s="348" t="s">
        <v>30</v>
      </c>
      <c r="B40" s="348" t="s">
        <v>29</v>
      </c>
      <c r="C40" s="334">
        <v>0</v>
      </c>
      <c r="D40" s="334">
        <v>0</v>
      </c>
      <c r="E40" s="334">
        <v>0</v>
      </c>
      <c r="F40" s="334">
        <v>0</v>
      </c>
    </row>
    <row r="41" spans="1:6">
      <c r="A41" s="348" t="s">
        <v>32</v>
      </c>
      <c r="B41" s="348" t="s">
        <v>33</v>
      </c>
      <c r="C41" s="334">
        <v>15</v>
      </c>
      <c r="D41" s="334">
        <v>305425</v>
      </c>
      <c r="E41" s="334">
        <v>51</v>
      </c>
      <c r="F41" s="334">
        <v>495103.05599999998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64310</v>
      </c>
      <c r="E44" s="334">
        <v>9</v>
      </c>
      <c r="F44" s="334">
        <v>79020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91550</v>
      </c>
      <c r="E48" s="334">
        <v>3</v>
      </c>
      <c r="F48" s="334">
        <v>14236</v>
      </c>
    </row>
    <row r="49" spans="1:6">
      <c r="A49" s="348" t="s">
        <v>32</v>
      </c>
      <c r="B49" s="348" t="s">
        <v>40</v>
      </c>
      <c r="C49" s="334">
        <v>0</v>
      </c>
      <c r="D49" s="334">
        <v>0</v>
      </c>
      <c r="E49" s="334">
        <v>0</v>
      </c>
      <c r="F49" s="334">
        <v>0</v>
      </c>
    </row>
    <row r="50" spans="1:6">
      <c r="A50" s="348" t="s">
        <v>32</v>
      </c>
      <c r="B50" s="348" t="s">
        <v>41</v>
      </c>
      <c r="C50" s="334">
        <v>0</v>
      </c>
      <c r="D50" s="334">
        <v>0</v>
      </c>
      <c r="E50" s="334">
        <v>8</v>
      </c>
      <c r="F50" s="334">
        <v>112375</v>
      </c>
    </row>
    <row r="51" spans="1:6">
      <c r="A51" s="348" t="s">
        <v>42</v>
      </c>
      <c r="B51" s="348" t="s">
        <v>43</v>
      </c>
      <c r="C51" s="334">
        <v>6</v>
      </c>
      <c r="D51" s="334">
        <v>143957</v>
      </c>
      <c r="E51" s="334">
        <v>16</v>
      </c>
      <c r="F51" s="334">
        <v>81278</v>
      </c>
    </row>
    <row r="52" spans="1:6">
      <c r="A52" s="348" t="s">
        <v>42</v>
      </c>
      <c r="B52" s="348" t="s">
        <v>29</v>
      </c>
      <c r="C52" s="334">
        <v>0</v>
      </c>
      <c r="D52" s="334">
        <v>0</v>
      </c>
      <c r="E52" s="334">
        <v>0</v>
      </c>
      <c r="F52" s="334">
        <v>0</v>
      </c>
    </row>
    <row r="53" spans="1:6">
      <c r="A53" s="348" t="s">
        <v>44</v>
      </c>
      <c r="B53" s="348" t="s">
        <v>45</v>
      </c>
      <c r="C53" s="334">
        <v>27</v>
      </c>
      <c r="D53" s="334">
        <v>611188.05000000005</v>
      </c>
      <c r="E53" s="334">
        <v>78</v>
      </c>
      <c r="F53" s="334">
        <v>747495</v>
      </c>
    </row>
    <row r="54" spans="1:6">
      <c r="A54" s="348" t="s">
        <v>46</v>
      </c>
      <c r="B54" s="348" t="s">
        <v>47</v>
      </c>
      <c r="C54" s="334">
        <v>0</v>
      </c>
      <c r="D54" s="334">
        <v>0</v>
      </c>
      <c r="E54" s="334">
        <v>1</v>
      </c>
      <c r="F54" s="334">
        <v>674523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538603</v>
      </c>
      <c r="E57" s="334">
        <v>60</v>
      </c>
      <c r="F57" s="334">
        <v>1074808.544</v>
      </c>
    </row>
    <row r="58" spans="1:6">
      <c r="A58" s="348" t="s">
        <v>49</v>
      </c>
      <c r="B58" s="348" t="s">
        <v>51</v>
      </c>
      <c r="C58" s="334">
        <v>15</v>
      </c>
      <c r="D58" s="334">
        <v>604394</v>
      </c>
      <c r="E58" s="334">
        <v>33</v>
      </c>
      <c r="F58" s="334">
        <v>239797.8</v>
      </c>
    </row>
    <row r="59" spans="1:6">
      <c r="A59" s="348" t="s">
        <v>49</v>
      </c>
      <c r="B59" s="348" t="s">
        <v>52</v>
      </c>
      <c r="C59" s="334">
        <v>29</v>
      </c>
      <c r="D59" s="334">
        <v>868035</v>
      </c>
      <c r="E59" s="334">
        <v>80</v>
      </c>
      <c r="F59" s="334">
        <v>1116590.061</v>
      </c>
    </row>
    <row r="60" spans="1:6">
      <c r="A60" s="348" t="s">
        <v>49</v>
      </c>
      <c r="B60" s="348" t="s">
        <v>53</v>
      </c>
      <c r="C60" s="334">
        <v>26</v>
      </c>
      <c r="D60" s="334">
        <v>1601259</v>
      </c>
      <c r="E60" s="334">
        <v>35</v>
      </c>
      <c r="F60" s="334">
        <v>1142951</v>
      </c>
    </row>
    <row r="61" spans="1:6">
      <c r="A61" s="348" t="s">
        <v>49</v>
      </c>
      <c r="B61" s="348" t="s">
        <v>54</v>
      </c>
      <c r="C61" s="334">
        <v>96</v>
      </c>
      <c r="D61" s="334">
        <v>4635371</v>
      </c>
      <c r="E61" s="334">
        <v>234</v>
      </c>
      <c r="F61" s="334">
        <v>3338375.932</v>
      </c>
    </row>
    <row r="62" spans="1:6">
      <c r="A62" s="348" t="s">
        <v>49</v>
      </c>
      <c r="B62" s="348" t="s">
        <v>55</v>
      </c>
      <c r="C62" s="334">
        <v>5</v>
      </c>
      <c r="D62" s="334">
        <v>508653</v>
      </c>
      <c r="E62" s="334">
        <v>6</v>
      </c>
      <c r="F62" s="334">
        <v>257091.51500000001</v>
      </c>
    </row>
    <row r="63" spans="1:6">
      <c r="A63" s="348" t="s">
        <v>49</v>
      </c>
      <c r="B63" s="348" t="s">
        <v>29</v>
      </c>
      <c r="C63" s="334">
        <v>0</v>
      </c>
      <c r="D63" s="334">
        <v>0</v>
      </c>
      <c r="E63" s="334">
        <v>1</v>
      </c>
      <c r="F63" s="334">
        <v>127065</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8</v>
      </c>
      <c r="F66" s="334">
        <v>129349.952</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32785350</v>
      </c>
      <c r="E73" s="475">
        <v>33303154.066235978</v>
      </c>
    </row>
    <row r="74" spans="1:6">
      <c r="A74" s="348" t="s">
        <v>64</v>
      </c>
      <c r="B74" s="348" t="s">
        <v>657</v>
      </c>
      <c r="C74" s="1295" t="s">
        <v>659</v>
      </c>
      <c r="D74" s="475">
        <v>2202685.5</v>
      </c>
      <c r="E74" s="475">
        <v>2260352.2478493839</v>
      </c>
    </row>
    <row r="75" spans="1:6">
      <c r="A75" s="348" t="s">
        <v>65</v>
      </c>
      <c r="B75" s="348" t="s">
        <v>656</v>
      </c>
      <c r="C75" s="1295" t="s">
        <v>660</v>
      </c>
      <c r="D75" s="475">
        <v>30466424</v>
      </c>
      <c r="E75" s="475">
        <v>30884270.304384068</v>
      </c>
    </row>
    <row r="76" spans="1:6">
      <c r="A76" s="348" t="s">
        <v>65</v>
      </c>
      <c r="B76" s="348" t="s">
        <v>657</v>
      </c>
      <c r="C76" s="1295" t="s">
        <v>661</v>
      </c>
      <c r="D76" s="475">
        <v>1593377.5</v>
      </c>
      <c r="E76" s="475">
        <v>1624579.5014443861</v>
      </c>
    </row>
    <row r="77" spans="1:6">
      <c r="A77" s="348" t="s">
        <v>66</v>
      </c>
      <c r="B77" s="348" t="s">
        <v>656</v>
      </c>
      <c r="C77" s="1295" t="s">
        <v>662</v>
      </c>
      <c r="D77" s="475">
        <v>39575738</v>
      </c>
      <c r="E77" s="475">
        <v>40648609.146945447</v>
      </c>
    </row>
    <row r="78" spans="1:6">
      <c r="A78" s="341" t="s">
        <v>66</v>
      </c>
      <c r="B78" s="341" t="s">
        <v>657</v>
      </c>
      <c r="C78" s="341" t="s">
        <v>663</v>
      </c>
      <c r="D78" s="1296">
        <v>3564538</v>
      </c>
      <c r="E78" s="1296">
        <v>3406363.2261817218</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290979</v>
      </c>
      <c r="C83" s="475">
        <v>291374.66124190914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2415.6359816213744</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446</v>
      </c>
    </row>
    <row r="98" spans="1:6">
      <c r="A98" s="348" t="s">
        <v>72</v>
      </c>
      <c r="B98" s="334">
        <v>1</v>
      </c>
    </row>
    <row r="99" spans="1:6">
      <c r="A99" s="348" t="s">
        <v>73</v>
      </c>
      <c r="B99" s="334">
        <v>73</v>
      </c>
    </row>
    <row r="100" spans="1:6">
      <c r="A100" s="348" t="s">
        <v>74</v>
      </c>
      <c r="B100" s="334">
        <v>431</v>
      </c>
    </row>
    <row r="101" spans="1:6">
      <c r="A101" s="348" t="s">
        <v>75</v>
      </c>
      <c r="B101" s="334">
        <v>63</v>
      </c>
    </row>
    <row r="102" spans="1:6">
      <c r="A102" s="348" t="s">
        <v>76</v>
      </c>
      <c r="B102" s="334">
        <v>40</v>
      </c>
    </row>
    <row r="103" spans="1:6">
      <c r="A103" s="348" t="s">
        <v>77</v>
      </c>
      <c r="B103" s="334">
        <v>76</v>
      </c>
    </row>
    <row r="104" spans="1:6">
      <c r="A104" s="348" t="s">
        <v>78</v>
      </c>
      <c r="B104" s="334">
        <v>2517</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22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88</v>
      </c>
    </row>
    <row r="130" spans="1:6">
      <c r="A130" s="348" t="s">
        <v>295</v>
      </c>
      <c r="B130" s="334">
        <v>3</v>
      </c>
    </row>
    <row r="131" spans="1:6">
      <c r="A131" s="348" t="s">
        <v>296</v>
      </c>
      <c r="B131" s="334">
        <v>1</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29887.28467355813</v>
      </c>
      <c r="C3" s="43" t="s">
        <v>170</v>
      </c>
      <c r="D3" s="43"/>
      <c r="E3" s="154"/>
      <c r="F3" s="43"/>
      <c r="G3" s="43"/>
      <c r="H3" s="43"/>
      <c r="I3" s="43"/>
      <c r="J3" s="43"/>
      <c r="K3" s="96"/>
    </row>
    <row r="4" spans="1:11">
      <c r="A4" s="383" t="s">
        <v>171</v>
      </c>
      <c r="B4" s="49">
        <f>IF(ISERROR('SEAP template'!B78+'SEAP template'!C78),0,'SEAP template'!B78+'SEAP template'!C78)</f>
        <v>2415.6359816213744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0.20313770311457449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674.52300000000002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674.52300000000002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0.20313770311457449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137.02105291795215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17930.486100000002</v>
      </c>
      <c r="C5" s="17">
        <f>IF(ISERROR('Eigen informatie GS &amp; warmtenet'!B57),0,'Eigen informatie GS &amp; warmtenet'!B57)</f>
        <v>0</v>
      </c>
      <c r="D5" s="30">
        <f>(SUM(HH_hh_gas_kWh,HH_rest_gas_kWh)/1000)*0.902</f>
        <v>29209.387661299999</v>
      </c>
      <c r="E5" s="17">
        <f>B46*B57</f>
        <v>3076.6008427993297</v>
      </c>
      <c r="F5" s="17">
        <f>B51*B62</f>
        <v>33613.351375315469</v>
      </c>
      <c r="G5" s="18"/>
      <c r="H5" s="17"/>
      <c r="I5" s="17"/>
      <c r="J5" s="17">
        <f>B50*B61+C50*C61</f>
        <v>0</v>
      </c>
      <c r="K5" s="17"/>
      <c r="L5" s="17"/>
      <c r="M5" s="17"/>
      <c r="N5" s="17">
        <f>B48*B59+C48*C59</f>
        <v>9048.6025370185653</v>
      </c>
      <c r="O5" s="17">
        <f>B69*B70*B71</f>
        <v>171.96666666666667</v>
      </c>
      <c r="P5" s="17">
        <f>B77*B78*B79/1000-B77*B78*B79/1000/B80</f>
        <v>762.66666666666674</v>
      </c>
    </row>
    <row r="6" spans="1:16">
      <c r="A6" s="16" t="s">
        <v>621</v>
      </c>
      <c r="B6" s="788">
        <f>kWh_PV_kleiner_dan_10kW</f>
        <v>2415.6359816213744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20346.122081621375</v>
      </c>
      <c r="C8" s="21">
        <f>C5</f>
        <v>0</v>
      </c>
      <c r="D8" s="21">
        <f>D5</f>
        <v>29209.387661299999</v>
      </c>
      <c r="E8" s="21">
        <f>E5</f>
        <v>3076.6008427993297</v>
      </c>
      <c r="F8" s="21">
        <f>F5</f>
        <v>33613.351375315469</v>
      </c>
      <c r="G8" s="21"/>
      <c r="H8" s="21"/>
      <c r="I8" s="21"/>
      <c r="J8" s="21">
        <f>J5</f>
        <v>0</v>
      </c>
      <c r="K8" s="21"/>
      <c r="L8" s="21">
        <f>L5</f>
        <v>0</v>
      </c>
      <c r="M8" s="21">
        <f>M5</f>
        <v>0</v>
      </c>
      <c r="N8" s="21">
        <f>N5</f>
        <v>9048.6025370185653</v>
      </c>
      <c r="O8" s="21">
        <f>O5</f>
        <v>171.96666666666667</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0.20313770311457449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4133.0645069492912</v>
      </c>
      <c r="C12" s="23">
        <f ca="1">C10*C8</f>
        <v>0</v>
      </c>
      <c r="D12" s="23">
        <f>D8*D10</f>
        <v>5900.2963075826001</v>
      </c>
      <c r="E12" s="23">
        <f>E10*E8</f>
        <v>698.38839131544785</v>
      </c>
      <c r="F12" s="23">
        <f>F10*F8</f>
        <v>8974.7648172092304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446</v>
      </c>
      <c r="C18" s="166" t="s">
        <v>111</v>
      </c>
      <c r="D18" s="228"/>
      <c r="E18" s="15"/>
    </row>
    <row r="19" spans="1:7">
      <c r="A19" s="171" t="s">
        <v>72</v>
      </c>
      <c r="B19" s="37">
        <f>aantalw2001_ander</f>
        <v>1</v>
      </c>
      <c r="C19" s="166" t="s">
        <v>111</v>
      </c>
      <c r="D19" s="229"/>
      <c r="E19" s="15"/>
    </row>
    <row r="20" spans="1:7">
      <c r="A20" s="171" t="s">
        <v>73</v>
      </c>
      <c r="B20" s="37">
        <f>aantalw2001_propaan</f>
        <v>73</v>
      </c>
      <c r="C20" s="167">
        <f>IF(ISERROR(B20/SUM($B$20,$B$21,$B$22)*100),0,B20/SUM($B$20,$B$21,$B$22)*100)</f>
        <v>12.874779541446207</v>
      </c>
      <c r="D20" s="229"/>
      <c r="E20" s="15"/>
    </row>
    <row r="21" spans="1:7">
      <c r="A21" s="171" t="s">
        <v>74</v>
      </c>
      <c r="B21" s="37">
        <f>aantalw2001_elektriciteit</f>
        <v>431</v>
      </c>
      <c r="C21" s="167">
        <f>IF(ISERROR(B21/SUM($B$20,$B$21,$B$22)*100),0,B21/SUM($B$20,$B$21,$B$22)*100)</f>
        <v>76.014109347442684</v>
      </c>
      <c r="D21" s="229"/>
      <c r="E21" s="15"/>
    </row>
    <row r="22" spans="1:7">
      <c r="A22" s="171" t="s">
        <v>75</v>
      </c>
      <c r="B22" s="37">
        <f>aantalw2001_hout</f>
        <v>63</v>
      </c>
      <c r="C22" s="167">
        <f>IF(ISERROR(B22/SUM($B$20,$B$21,$B$22)*100),0,B22/SUM($B$20,$B$21,$B$22)*100)</f>
        <v>11.111111111111111</v>
      </c>
      <c r="D22" s="229"/>
      <c r="E22" s="15"/>
    </row>
    <row r="23" spans="1:7">
      <c r="A23" s="171" t="s">
        <v>76</v>
      </c>
      <c r="B23" s="37">
        <f>aantalw2001_niet_gespec</f>
        <v>40</v>
      </c>
      <c r="C23" s="166" t="s">
        <v>111</v>
      </c>
      <c r="D23" s="228"/>
      <c r="E23" s="15"/>
    </row>
    <row r="24" spans="1:7">
      <c r="A24" s="171" t="s">
        <v>77</v>
      </c>
      <c r="B24" s="37">
        <f>aantalw2001_steenkool</f>
        <v>76</v>
      </c>
      <c r="C24" s="166" t="s">
        <v>111</v>
      </c>
      <c r="D24" s="229"/>
      <c r="E24" s="15"/>
    </row>
    <row r="25" spans="1:7">
      <c r="A25" s="171" t="s">
        <v>78</v>
      </c>
      <c r="B25" s="37">
        <f>aantalw2001_stookolie</f>
        <v>2517</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4267</v>
      </c>
      <c r="C28" s="36"/>
      <c r="D28" s="228"/>
    </row>
    <row r="29" spans="1:7" s="15" customFormat="1">
      <c r="A29" s="230" t="s">
        <v>794</v>
      </c>
      <c r="B29" s="37">
        <f>SUM(HH_hh_gas_aantal,HH_rest_gas_aantal)</f>
        <v>1800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1800</v>
      </c>
      <c r="C32" s="167">
        <f>IF(ISERROR(B32/SUM($B$32,$B$34,$B$35,$B$36,$B$38,$B$39)*100),0,B32/SUM($B$32,$B$34,$B$35,$B$36,$B$38,$B$39)*100)</f>
        <v>42.583392476933994</v>
      </c>
      <c r="D32" s="233"/>
      <c r="G32" s="15"/>
    </row>
    <row r="33" spans="1:7">
      <c r="A33" s="171" t="s">
        <v>72</v>
      </c>
      <c r="B33" s="34" t="s">
        <v>111</v>
      </c>
      <c r="C33" s="167"/>
      <c r="D33" s="233"/>
      <c r="G33" s="15"/>
    </row>
    <row r="34" spans="1:7">
      <c r="A34" s="171" t="s">
        <v>73</v>
      </c>
      <c r="B34" s="33">
        <f>IF((($B$28-$B$32-$B$39-$B$77-$B$38)*C20/100)&lt;0,0,($B$28-$B$32-$B$39-$B$77-$B$38)*C20/100)</f>
        <v>145.3047619047619</v>
      </c>
      <c r="C34" s="167">
        <f>IF(ISERROR(B34/SUM($B$32,$B$34,$B$35,$B$36,$B$38,$B$39)*100),0,B34/SUM($B$32,$B$34,$B$35,$B$36,$B$38,$B$39)*100)</f>
        <v>3.4375387249766245</v>
      </c>
      <c r="D34" s="233"/>
      <c r="G34" s="15"/>
    </row>
    <row r="35" spans="1:7">
      <c r="A35" s="171" t="s">
        <v>74</v>
      </c>
      <c r="B35" s="33">
        <f>IF((($B$28-$B$32-$B$39-$B$77-$B$38)*C21/100)&lt;0,0,($B$28-$B$32-$B$39-$B$77-$B$38)*C21/100)</f>
        <v>857.89523809523814</v>
      </c>
      <c r="C35" s="167">
        <f>IF(ISERROR(B35/SUM($B$32,$B$34,$B$35,$B$36,$B$38,$B$39)*100),0,B35/SUM($B$32,$B$34,$B$35,$B$36,$B$38,$B$39)*100)</f>
        <v>20.295605348834592</v>
      </c>
      <c r="D35" s="233"/>
      <c r="G35" s="15"/>
    </row>
    <row r="36" spans="1:7">
      <c r="A36" s="171" t="s">
        <v>75</v>
      </c>
      <c r="B36" s="33">
        <f>IF((($B$28-$B$32-$B$39-$B$77-$B$38)*C22/100)&lt;0,0,($B$28-$B$32-$B$39-$B$77-$B$38)*C22/100)</f>
        <v>125.40000000000002</v>
      </c>
      <c r="C36" s="167">
        <f>IF(ISERROR(B36/SUM($B$32,$B$34,$B$35,$B$36,$B$38,$B$39)*100),0,B36/SUM($B$32,$B$34,$B$35,$B$36,$B$38,$B$39)*100)</f>
        <v>2.9666430092264022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1298.3999999999999</v>
      </c>
      <c r="C39" s="167">
        <f>IF(ISERROR(B39/SUM($B$32,$B$34,$B$35,$B$36,$B$38,$B$39)*100),0,B39/SUM($B$32,$B$34,$B$35,$B$36,$B$38,$B$39)*100)</f>
        <v>30.716820440028386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1800</v>
      </c>
      <c r="C44" s="34" t="s">
        <v>111</v>
      </c>
      <c r="D44" s="174"/>
    </row>
    <row r="45" spans="1:7">
      <c r="A45" s="171" t="s">
        <v>72</v>
      </c>
      <c r="B45" s="33" t="str">
        <f t="shared" si="0"/>
        <v>-</v>
      </c>
      <c r="C45" s="34" t="s">
        <v>111</v>
      </c>
      <c r="D45" s="174"/>
    </row>
    <row r="46" spans="1:7">
      <c r="A46" s="171" t="s">
        <v>73</v>
      </c>
      <c r="B46" s="33">
        <f t="shared" si="0"/>
        <v>145.3047619047619</v>
      </c>
      <c r="C46" s="34" t="s">
        <v>111</v>
      </c>
      <c r="D46" s="174"/>
    </row>
    <row r="47" spans="1:7">
      <c r="A47" s="171" t="s">
        <v>74</v>
      </c>
      <c r="B47" s="33">
        <f t="shared" si="0"/>
        <v>857.89523809523814</v>
      </c>
      <c r="C47" s="34" t="s">
        <v>111</v>
      </c>
      <c r="D47" s="174"/>
    </row>
    <row r="48" spans="1:7">
      <c r="A48" s="171" t="s">
        <v>75</v>
      </c>
      <c r="B48" s="33">
        <f t="shared" si="0"/>
        <v>125.40000000000002</v>
      </c>
      <c r="C48" s="33">
        <f>B48*10</f>
        <v>1254.0000000000002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1298.3999999999999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7296.6798520000002</v>
      </c>
      <c r="C5" s="17">
        <f>IF(ISERROR('Eigen informatie GS &amp; warmtenet'!B58),0,'Eigen informatie GS &amp; warmtenet'!B58)</f>
        <v>0</v>
      </c>
      <c r="D5" s="30">
        <f>SUM(D6:D12)</f>
        <v>7898.1961300000003</v>
      </c>
      <c r="E5" s="17">
        <f>SUM(E6:E12)</f>
        <v>63.639510483680965</v>
      </c>
      <c r="F5" s="17">
        <f>SUM(F6:F12)</f>
        <v>1245.3260718743491</v>
      </c>
      <c r="G5" s="18"/>
      <c r="H5" s="17"/>
      <c r="I5" s="17"/>
      <c r="J5" s="17">
        <f>SUM(J6:J12)</f>
        <v>2.3637571461258555E-2</v>
      </c>
      <c r="K5" s="17"/>
      <c r="L5" s="17"/>
      <c r="M5" s="17"/>
      <c r="N5" s="17">
        <f>SUM(N6:N12)</f>
        <v>934.50556204731811</v>
      </c>
      <c r="O5" s="17">
        <f>B38*B39*B40</f>
        <v>4.6900000000000004</v>
      </c>
      <c r="P5" s="17">
        <f>B46*B47*B48/1000-B46*B47*B48/1000/B49</f>
        <v>19.066666666666666</v>
      </c>
      <c r="R5" s="32"/>
    </row>
    <row r="6" spans="1:18">
      <c r="A6" s="32" t="s">
        <v>54</v>
      </c>
      <c r="B6" s="37">
        <f>B26</f>
        <v>3338.3759319999999</v>
      </c>
      <c r="C6" s="33"/>
      <c r="D6" s="37">
        <f>IF(ISERROR(TER_kantoor_gas_kWh/1000),0,TER_kantoor_gas_kWh/1000)*0.902</f>
        <v>4181.1046420000002</v>
      </c>
      <c r="E6" s="33">
        <f>$C$26*'E Balans VL '!I12/100/3.6*1000000</f>
        <v>2.0923830015335848E-2</v>
      </c>
      <c r="F6" s="33">
        <f>$C$26*('E Balans VL '!L12+'E Balans VL '!N12)/100/3.6*1000000</f>
        <v>501.66461945929774</v>
      </c>
      <c r="G6" s="34"/>
      <c r="H6" s="33"/>
      <c r="I6" s="33"/>
      <c r="J6" s="33">
        <f>$C$26*('E Balans VL '!D12+'E Balans VL '!E12)/100/3.6*1000000</f>
        <v>0</v>
      </c>
      <c r="K6" s="33"/>
      <c r="L6" s="33"/>
      <c r="M6" s="33"/>
      <c r="N6" s="33">
        <f>$C$26*'E Balans VL '!Y12/100/3.6*1000000</f>
        <v>3.1926616104061698</v>
      </c>
      <c r="O6" s="33"/>
      <c r="P6" s="33"/>
      <c r="R6" s="32"/>
    </row>
    <row r="7" spans="1:18">
      <c r="A7" s="32" t="s">
        <v>53</v>
      </c>
      <c r="B7" s="37">
        <f t="shared" ref="B7:B12" si="0">B27</f>
        <v>1142.951</v>
      </c>
      <c r="C7" s="33"/>
      <c r="D7" s="37">
        <f>IF(ISERROR(TER_horeca_gas_kWh/1000),0,TER_horeca_gas_kWh/1000)*0.902</f>
        <v>1444.3356180000001</v>
      </c>
      <c r="E7" s="33">
        <f>$C$27*'E Balans VL '!I9/100/3.6*1000000</f>
        <v>16.366867940706442</v>
      </c>
      <c r="F7" s="33">
        <f>$C$27*('E Balans VL '!L9+'E Balans VL '!N9)/100/3.6*1000000</f>
        <v>144.73529257625006</v>
      </c>
      <c r="G7" s="34"/>
      <c r="H7" s="33"/>
      <c r="I7" s="33"/>
      <c r="J7" s="33">
        <f>$C$27*('E Balans VL '!D9+'E Balans VL '!E9)/100/3.6*1000000</f>
        <v>0</v>
      </c>
      <c r="K7" s="33"/>
      <c r="L7" s="33"/>
      <c r="M7" s="33"/>
      <c r="N7" s="33">
        <f>$C$27*'E Balans VL '!Y9/100/3.6*1000000</f>
        <v>0.3285732125936015</v>
      </c>
      <c r="O7" s="33"/>
      <c r="P7" s="33"/>
      <c r="R7" s="32"/>
    </row>
    <row r="8" spans="1:18">
      <c r="A8" s="6" t="s">
        <v>52</v>
      </c>
      <c r="B8" s="37">
        <f t="shared" si="0"/>
        <v>1116.5900609999999</v>
      </c>
      <c r="C8" s="33"/>
      <c r="D8" s="37">
        <f>IF(ISERROR(TER_handel_gas_kWh/1000),0,TER_handel_gas_kWh/1000)*0.902</f>
        <v>782.96757000000002</v>
      </c>
      <c r="E8" s="33">
        <f>$C$28*'E Balans VL '!I13/100/3.6*1000000</f>
        <v>40.498583820752465</v>
      </c>
      <c r="F8" s="33">
        <f>$C$28*('E Balans VL '!L13+'E Balans VL '!N13)/100/3.6*1000000</f>
        <v>215.06655194179288</v>
      </c>
      <c r="G8" s="34"/>
      <c r="H8" s="33"/>
      <c r="I8" s="33"/>
      <c r="J8" s="33">
        <f>$C$28*('E Balans VL '!D13+'E Balans VL '!E13)/100/3.6*1000000</f>
        <v>0</v>
      </c>
      <c r="K8" s="33"/>
      <c r="L8" s="33"/>
      <c r="M8" s="33"/>
      <c r="N8" s="33">
        <f>$C$28*'E Balans VL '!Y13/100/3.6*1000000</f>
        <v>1.5467341503999295</v>
      </c>
      <c r="O8" s="33"/>
      <c r="P8" s="33"/>
      <c r="R8" s="32"/>
    </row>
    <row r="9" spans="1:18">
      <c r="A9" s="32" t="s">
        <v>51</v>
      </c>
      <c r="B9" s="37">
        <f t="shared" si="0"/>
        <v>239.7978</v>
      </c>
      <c r="C9" s="33"/>
      <c r="D9" s="37">
        <f>IF(ISERROR(TER_gezond_gas_kWh/1000),0,TER_gezond_gas_kWh/1000)*0.902</f>
        <v>545.16338800000005</v>
      </c>
      <c r="E9" s="33">
        <f>$C$29*'E Balans VL '!I10/100/3.6*1000000</f>
        <v>1.5013709855547744E-2</v>
      </c>
      <c r="F9" s="33">
        <f>$C$29*('E Balans VL '!L10+'E Balans VL '!N10)/100/3.6*1000000</f>
        <v>35.622693304768546</v>
      </c>
      <c r="G9" s="34"/>
      <c r="H9" s="33"/>
      <c r="I9" s="33"/>
      <c r="J9" s="33">
        <f>$C$29*('E Balans VL '!D10+'E Balans VL '!E10)/100/3.6*1000000</f>
        <v>0</v>
      </c>
      <c r="K9" s="33"/>
      <c r="L9" s="33"/>
      <c r="M9" s="33"/>
      <c r="N9" s="33">
        <f>$C$29*'E Balans VL '!Y10/100/3.6*1000000</f>
        <v>3.7092155089098164</v>
      </c>
      <c r="O9" s="33"/>
      <c r="P9" s="33"/>
      <c r="R9" s="32"/>
    </row>
    <row r="10" spans="1:18">
      <c r="A10" s="32" t="s">
        <v>50</v>
      </c>
      <c r="B10" s="37">
        <f t="shared" si="0"/>
        <v>1074.808544</v>
      </c>
      <c r="C10" s="33"/>
      <c r="D10" s="37">
        <f>IF(ISERROR(TER_ander_gas_kWh/1000),0,TER_ander_gas_kWh/1000)*0.902</f>
        <v>485.81990599999995</v>
      </c>
      <c r="E10" s="33">
        <f>$C$30*'E Balans VL '!I14/100/3.6*1000000</f>
        <v>1.2811333772803084</v>
      </c>
      <c r="F10" s="33">
        <f>$C$30*('E Balans VL '!L14+'E Balans VL '!N14)/100/3.6*1000000</f>
        <v>281.21769734529937</v>
      </c>
      <c r="G10" s="34"/>
      <c r="H10" s="33"/>
      <c r="I10" s="33"/>
      <c r="J10" s="33">
        <f>$C$30*('E Balans VL '!D14+'E Balans VL '!E14)/100/3.6*1000000</f>
        <v>2.332988035708038E-2</v>
      </c>
      <c r="K10" s="33"/>
      <c r="L10" s="33"/>
      <c r="M10" s="33"/>
      <c r="N10" s="33">
        <f>$C$30*'E Balans VL '!Y14/100/3.6*1000000</f>
        <v>912.70111536992977</v>
      </c>
      <c r="O10" s="33"/>
      <c r="P10" s="33"/>
      <c r="R10" s="32"/>
    </row>
    <row r="11" spans="1:18">
      <c r="A11" s="32" t="s">
        <v>55</v>
      </c>
      <c r="B11" s="37">
        <f t="shared" si="0"/>
        <v>257.09151500000002</v>
      </c>
      <c r="C11" s="33"/>
      <c r="D11" s="37">
        <f>IF(ISERROR(TER_onderwijs_gas_kWh/1000),0,TER_onderwijs_gas_kWh/1000)*0.902</f>
        <v>458.80500600000005</v>
      </c>
      <c r="E11" s="33">
        <f>$C$31*'E Balans VL '!I11/100/3.6*1000000</f>
        <v>3.8790968760898523</v>
      </c>
      <c r="F11" s="33">
        <f>$C$31*('E Balans VL '!L11+'E Balans VL '!N11)/100/3.6*1000000</f>
        <v>45.046540587138743</v>
      </c>
      <c r="G11" s="34"/>
      <c r="H11" s="33"/>
      <c r="I11" s="33"/>
      <c r="J11" s="33">
        <f>$C$31*('E Balans VL '!D11+'E Balans VL '!E11)/100/3.6*1000000</f>
        <v>0</v>
      </c>
      <c r="K11" s="33"/>
      <c r="L11" s="33"/>
      <c r="M11" s="33"/>
      <c r="N11" s="33">
        <f>$C$31*'E Balans VL '!Y11/100/3.6*1000000</f>
        <v>0.72347506805127459</v>
      </c>
      <c r="O11" s="33"/>
      <c r="P11" s="33"/>
      <c r="R11" s="32"/>
    </row>
    <row r="12" spans="1:18">
      <c r="A12" s="32" t="s">
        <v>260</v>
      </c>
      <c r="B12" s="37">
        <f t="shared" si="0"/>
        <v>127.065</v>
      </c>
      <c r="C12" s="33"/>
      <c r="D12" s="37">
        <f>IF(ISERROR(TER_rest_gas_kWh/1000),0,TER_rest_gas_kWh/1000)*0.902</f>
        <v>0</v>
      </c>
      <c r="E12" s="33">
        <f>$C$32*'E Balans VL '!I8/100/3.6*1000000</f>
        <v>1.5778909289810172</v>
      </c>
      <c r="F12" s="33">
        <f>$C$32*('E Balans VL '!L8+'E Balans VL '!N8)/100/3.6*1000000</f>
        <v>21.972676659801781</v>
      </c>
      <c r="G12" s="34"/>
      <c r="H12" s="33"/>
      <c r="I12" s="33"/>
      <c r="J12" s="33">
        <f>$C$32*('E Balans VL '!D8+'E Balans VL '!E8)/100/3.6*1000000</f>
        <v>3.0769110417817668E-4</v>
      </c>
      <c r="K12" s="33"/>
      <c r="L12" s="33"/>
      <c r="M12" s="33"/>
      <c r="N12" s="33">
        <f>$C$32*'E Balans VL '!Y8/100/3.6*1000000</f>
        <v>12.303787127027613</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7296.6798520000002</v>
      </c>
      <c r="C16" s="21">
        <f t="shared" ca="1" si="1"/>
        <v>0</v>
      </c>
      <c r="D16" s="21">
        <f t="shared" ca="1" si="1"/>
        <v>7898.1961300000003</v>
      </c>
      <c r="E16" s="21">
        <f t="shared" si="1"/>
        <v>63.639510483680965</v>
      </c>
      <c r="F16" s="21">
        <f t="shared" ca="1" si="1"/>
        <v>1245.3260718743491</v>
      </c>
      <c r="G16" s="21">
        <f t="shared" si="1"/>
        <v>0</v>
      </c>
      <c r="H16" s="21">
        <f t="shared" si="1"/>
        <v>0</v>
      </c>
      <c r="I16" s="21">
        <f t="shared" si="1"/>
        <v>0</v>
      </c>
      <c r="J16" s="21">
        <f t="shared" si="1"/>
        <v>2.3637571461258555E-2</v>
      </c>
      <c r="K16" s="21">
        <f t="shared" si="1"/>
        <v>0</v>
      </c>
      <c r="L16" s="21">
        <f t="shared" ca="1" si="1"/>
        <v>0</v>
      </c>
      <c r="M16" s="21">
        <f t="shared" si="1"/>
        <v>0</v>
      </c>
      <c r="N16" s="21">
        <f t="shared" ca="1" si="1"/>
        <v>934.50556204731811</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0.20313770311457449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1482.2307854976734</v>
      </c>
      <c r="C20" s="23">
        <f t="shared" ref="C20:P20" ca="1" si="2">C16*C18</f>
        <v>0</v>
      </c>
      <c r="D20" s="23">
        <f t="shared" ca="1" si="2"/>
        <v>1595.4356182600002</v>
      </c>
      <c r="E20" s="23">
        <f t="shared" si="2"/>
        <v>14.446168879795579</v>
      </c>
      <c r="F20" s="23">
        <f t="shared" ca="1" si="2"/>
        <v>332.50206119045123</v>
      </c>
      <c r="G20" s="23">
        <f t="shared" si="2"/>
        <v>0</v>
      </c>
      <c r="H20" s="23">
        <f t="shared" si="2"/>
        <v>0</v>
      </c>
      <c r="I20" s="23">
        <f t="shared" si="2"/>
        <v>0</v>
      </c>
      <c r="J20" s="23">
        <f t="shared" si="2"/>
        <v>8.3677002972855283E-3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3338.3759319999999</v>
      </c>
      <c r="C26" s="39">
        <f>IF(ISERROR(B26*3.6/1000000/'E Balans VL '!Z12*100),0,B26*3.6/1000000/'E Balans VL '!Z12*100)</f>
        <v>7.0567978787831651E-2</v>
      </c>
      <c r="D26" s="237" t="s">
        <v>754</v>
      </c>
      <c r="F26" s="6"/>
    </row>
    <row r="27" spans="1:18">
      <c r="A27" s="231" t="s">
        <v>53</v>
      </c>
      <c r="B27" s="33">
        <f>IF(ISERROR(TER_horeca_ele_kWh/1000),0,TER_horeca_ele_kWh/1000)</f>
        <v>1142.951</v>
      </c>
      <c r="C27" s="39">
        <f>IF(ISERROR(B27*3.6/1000000/'E Balans VL '!Z9*100),0,B27*3.6/1000000/'E Balans VL '!Z9*100)</f>
        <v>9.0098401330414232E-2</v>
      </c>
      <c r="D27" s="237" t="s">
        <v>754</v>
      </c>
      <c r="F27" s="6"/>
    </row>
    <row r="28" spans="1:18">
      <c r="A28" s="171" t="s">
        <v>52</v>
      </c>
      <c r="B28" s="33">
        <f>IF(ISERROR(TER_handel_ele_kWh/1000),0,TER_handel_ele_kWh/1000)</f>
        <v>1116.5900609999999</v>
      </c>
      <c r="C28" s="39">
        <f>IF(ISERROR(B28*3.6/1000000/'E Balans VL '!Z13*100),0,B28*3.6/1000000/'E Balans VL '!Z13*100)</f>
        <v>3.2407955099610843E-2</v>
      </c>
      <c r="D28" s="237" t="s">
        <v>754</v>
      </c>
      <c r="F28" s="6"/>
    </row>
    <row r="29" spans="1:18">
      <c r="A29" s="231" t="s">
        <v>51</v>
      </c>
      <c r="B29" s="33">
        <f>IF(ISERROR(TER_gezond_ele_kWh/1000),0,TER_gezond_ele_kWh/1000)</f>
        <v>239.7978</v>
      </c>
      <c r="C29" s="39">
        <f>IF(ISERROR(B29*3.6/1000000/'E Balans VL '!Z10*100),0,B29*3.6/1000000/'E Balans VL '!Z10*100)</f>
        <v>2.5254645923812991E-2</v>
      </c>
      <c r="D29" s="237" t="s">
        <v>754</v>
      </c>
      <c r="F29" s="6"/>
    </row>
    <row r="30" spans="1:18">
      <c r="A30" s="231" t="s">
        <v>50</v>
      </c>
      <c r="B30" s="33">
        <f>IF(ISERROR(TER_ander_ele_kWh/1000),0,TER_ander_ele_kWh/1000)</f>
        <v>1074.808544</v>
      </c>
      <c r="C30" s="39">
        <f>IF(ISERROR(B30*3.6/1000000/'E Balans VL '!Z14*100),0,B30*3.6/1000000/'E Balans VL '!Z14*100)</f>
        <v>7.9278111652694494E-2</v>
      </c>
      <c r="D30" s="237" t="s">
        <v>754</v>
      </c>
      <c r="F30" s="6"/>
    </row>
    <row r="31" spans="1:18">
      <c r="A31" s="231" t="s">
        <v>55</v>
      </c>
      <c r="B31" s="33">
        <f>IF(ISERROR(TER_onderwijs_ele_kWh/1000),0,TER_onderwijs_ele_kWh/1000)</f>
        <v>257.09151500000002</v>
      </c>
      <c r="C31" s="39">
        <f>IF(ISERROR(B31*3.6/1000000/'E Balans VL '!Z11*100),0,B31*3.6/1000000/'E Balans VL '!Z11*100)</f>
        <v>6.3847866050292371E-2</v>
      </c>
      <c r="D31" s="237" t="s">
        <v>754</v>
      </c>
    </row>
    <row r="32" spans="1:18">
      <c r="A32" s="231" t="s">
        <v>260</v>
      </c>
      <c r="B32" s="33">
        <f>IF(ISERROR(TER_rest_ele_kWh/1000),0,TER_rest_ele_kWh/1000)</f>
        <v>127.065</v>
      </c>
      <c r="C32" s="39">
        <f>IF(ISERROR(B32*3.6/1000000/'E Balans VL '!Z8*100),0,B32*3.6/1000000/'E Balans VL '!Z8*100)</f>
        <v>1.0455762883574012E-3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700.73405600000001</v>
      </c>
      <c r="C5" s="17">
        <f>IF(ISERROR('Eigen informatie GS &amp; warmtenet'!B59),0,'Eigen informatie GS &amp; warmtenet'!B59)</f>
        <v>0</v>
      </c>
      <c r="D5" s="30">
        <f>SUM(D6:D15)</f>
        <v>416.07907000000006</v>
      </c>
      <c r="E5" s="17">
        <f>SUM(E6:E15)</f>
        <v>146.47855956492759</v>
      </c>
      <c r="F5" s="17">
        <f>SUM(F6:F15)</f>
        <v>415.22686930866951</v>
      </c>
      <c r="G5" s="18"/>
      <c r="H5" s="17"/>
      <c r="I5" s="17"/>
      <c r="J5" s="17">
        <f>SUM(J6:J15)</f>
        <v>5.0964609293523144E-2</v>
      </c>
      <c r="K5" s="17"/>
      <c r="L5" s="17"/>
      <c r="M5" s="17"/>
      <c r="N5" s="17">
        <f>SUM(N6:N15)</f>
        <v>175.66542129273316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79.02</v>
      </c>
      <c r="C8" s="33"/>
      <c r="D8" s="37">
        <f>IF( ISERROR(IND_metaal_Gas_kWH/1000),0,IND_metaal_Gas_kWH/1000)*0.902</f>
        <v>58.007620000000003</v>
      </c>
      <c r="E8" s="33">
        <f>C30*'E Balans VL '!I18/100/3.6*1000000</f>
        <v>0.72651258175821121</v>
      </c>
      <c r="F8" s="33">
        <f>C30*'E Balans VL '!L18/100/3.6*1000000+C30*'E Balans VL '!N18/100/3.6*1000000</f>
        <v>7.4094451578940994</v>
      </c>
      <c r="G8" s="34"/>
      <c r="H8" s="33"/>
      <c r="I8" s="33"/>
      <c r="J8" s="40">
        <f>C30*'E Balans VL '!D18/100/3.6*1000000+C30*'E Balans VL '!E18/100/3.6*1000000</f>
        <v>0</v>
      </c>
      <c r="K8" s="33"/>
      <c r="L8" s="33"/>
      <c r="M8" s="33"/>
      <c r="N8" s="33">
        <f>C30*'E Balans VL '!Y18/100/3.6*1000000</f>
        <v>1.1273508860491153</v>
      </c>
      <c r="O8" s="33"/>
      <c r="P8" s="33"/>
      <c r="R8" s="32"/>
    </row>
    <row r="9" spans="1:18">
      <c r="A9" s="6" t="s">
        <v>33</v>
      </c>
      <c r="B9" s="37">
        <f t="shared" si="0"/>
        <v>495.10305599999998</v>
      </c>
      <c r="C9" s="33"/>
      <c r="D9" s="37">
        <f>IF( ISERROR(IND_andere_gas_kWh/1000),0,IND_andere_gas_kWh/1000)*0.902</f>
        <v>275.49335000000002</v>
      </c>
      <c r="E9" s="33">
        <f>C31*'E Balans VL '!I19/100/3.6*1000000</f>
        <v>144.72826178844349</v>
      </c>
      <c r="F9" s="33">
        <f>C31*'E Balans VL '!L19/100/3.6*1000000+C31*'E Balans VL '!N19/100/3.6*1000000</f>
        <v>397.85278135383544</v>
      </c>
      <c r="G9" s="34"/>
      <c r="H9" s="33"/>
      <c r="I9" s="33"/>
      <c r="J9" s="40">
        <f>C31*'E Balans VL '!D19/100/3.6*1000000+C31*'E Balans VL '!E19/100/3.6*1000000</f>
        <v>0</v>
      </c>
      <c r="K9" s="33"/>
      <c r="L9" s="33"/>
      <c r="M9" s="33"/>
      <c r="N9" s="33">
        <f>C31*'E Balans VL '!Y19/100/3.6*1000000</f>
        <v>163.58972820639218</v>
      </c>
      <c r="O9" s="33"/>
      <c r="P9" s="33"/>
      <c r="R9" s="32"/>
    </row>
    <row r="10" spans="1:18">
      <c r="A10" s="6" t="s">
        <v>41</v>
      </c>
      <c r="B10" s="37">
        <f t="shared" si="0"/>
        <v>112.375</v>
      </c>
      <c r="C10" s="33"/>
      <c r="D10" s="37">
        <f>IF( ISERROR(IND_voed_gas_kWh/1000),0,IND_voed_gas_kWh/1000)*0.902</f>
        <v>0</v>
      </c>
      <c r="E10" s="33">
        <f>C32*'E Balans VL '!I20/100/3.6*1000000</f>
        <v>0.23773105489501167</v>
      </c>
      <c r="F10" s="33">
        <f>C32*'E Balans VL '!L20/100/3.6*1000000+C32*'E Balans VL '!N20/100/3.6*1000000</f>
        <v>7.1449172876964022</v>
      </c>
      <c r="G10" s="34"/>
      <c r="H10" s="33"/>
      <c r="I10" s="33"/>
      <c r="J10" s="40">
        <f>C32*'E Balans VL '!D20/100/3.6*1000000+C32*'E Balans VL '!E20/100/3.6*1000000</f>
        <v>0</v>
      </c>
      <c r="K10" s="33"/>
      <c r="L10" s="33"/>
      <c r="M10" s="33"/>
      <c r="N10" s="33">
        <f>C32*'E Balans VL '!Y20/100/3.6*1000000</f>
        <v>7.7549839435965717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14.236000000000001</v>
      </c>
      <c r="C15" s="33"/>
      <c r="D15" s="37">
        <f>IF( ISERROR(IND_rest_gas_kWh/1000),0,IND_rest_gas_kWh/1000)*0.902</f>
        <v>82.578100000000006</v>
      </c>
      <c r="E15" s="33">
        <f>C37*'E Balans VL '!I15/100/3.6*1000000</f>
        <v>0.78605413983086836</v>
      </c>
      <c r="F15" s="33">
        <f>C37*'E Balans VL '!L15/100/3.6*1000000+C37*'E Balans VL '!N15/100/3.6*1000000</f>
        <v>2.81972550924357</v>
      </c>
      <c r="G15" s="34"/>
      <c r="H15" s="33"/>
      <c r="I15" s="33"/>
      <c r="J15" s="40">
        <f>C37*'E Balans VL '!D15/100/3.6*1000000+C37*'E Balans VL '!E15/100/3.6*1000000</f>
        <v>5.0964609293523144E-2</v>
      </c>
      <c r="K15" s="33"/>
      <c r="L15" s="33"/>
      <c r="M15" s="33"/>
      <c r="N15" s="33">
        <f>C37*'E Balans VL '!Y15/100/3.6*1000000</f>
        <v>3.193358256695269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700.73405600000001</v>
      </c>
      <c r="C18" s="21">
        <f>C5+C16</f>
        <v>0</v>
      </c>
      <c r="D18" s="21">
        <f>MAX((D5+D16),0)</f>
        <v>416.07907000000006</v>
      </c>
      <c r="E18" s="21">
        <f>MAX((E5+E16),0)</f>
        <v>146.47855956492759</v>
      </c>
      <c r="F18" s="21">
        <f>MAX((F5+F16),0)</f>
        <v>415.22686930866951</v>
      </c>
      <c r="G18" s="21"/>
      <c r="H18" s="21"/>
      <c r="I18" s="21"/>
      <c r="J18" s="21">
        <f>MAX((J5+J16),0)</f>
        <v>5.0964609293523144E-2</v>
      </c>
      <c r="K18" s="21"/>
      <c r="L18" s="21">
        <f>MAX((L5+L16),0)</f>
        <v>0</v>
      </c>
      <c r="M18" s="21"/>
      <c r="N18" s="21">
        <f>MAX((N5+N16),0)</f>
        <v>175.66542129273316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0.20313770311457449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142.34550662999962</v>
      </c>
      <c r="C22" s="23">
        <f ca="1">C18*C20</f>
        <v>0</v>
      </c>
      <c r="D22" s="23">
        <f>D18*D20</f>
        <v>84.047972140000013</v>
      </c>
      <c r="E22" s="23">
        <f>E18*E20</f>
        <v>33.250633021238563</v>
      </c>
      <c r="F22" s="23">
        <f>F18*F20</f>
        <v>110.86557410541477</v>
      </c>
      <c r="G22" s="23"/>
      <c r="H22" s="23"/>
      <c r="I22" s="23"/>
      <c r="J22" s="23">
        <f>J18*J20</f>
        <v>1.8041471689907194E-2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79.02</v>
      </c>
      <c r="C30" s="39">
        <f>IF(ISERROR(B30*3.6/1000000/'E Balans VL '!Z18*100),0,B30*3.6/1000000/'E Balans VL '!Z18*100)</f>
        <v>4.478266020532363E-3</v>
      </c>
      <c r="D30" s="237" t="s">
        <v>754</v>
      </c>
    </row>
    <row r="31" spans="1:18">
      <c r="A31" s="6" t="s">
        <v>33</v>
      </c>
      <c r="B31" s="37">
        <f>IF( ISERROR(IND_ander_ele_kWh/1000),0,IND_ander_ele_kWh/1000)</f>
        <v>495.10305599999998</v>
      </c>
      <c r="C31" s="39">
        <f>IF(ISERROR(B31*3.6/1000000/'E Balans VL '!Z19*100),0,B31*3.6/1000000/'E Balans VL '!Z19*100)</f>
        <v>2.2455813046915869E-2</v>
      </c>
      <c r="D31" s="237" t="s">
        <v>754</v>
      </c>
    </row>
    <row r="32" spans="1:18">
      <c r="A32" s="171" t="s">
        <v>41</v>
      </c>
      <c r="B32" s="37">
        <f>IF( ISERROR(IND_voed_ele_kWh/1000),0,IND_voed_ele_kWh/1000)</f>
        <v>112.375</v>
      </c>
      <c r="C32" s="39">
        <f>IF(ISERROR(B32*3.6/1000000/'E Balans VL '!Z20*100),0,B32*3.6/1000000/'E Balans VL '!Z20*100)</f>
        <v>3.4762688894261254E-3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14.236000000000001</v>
      </c>
      <c r="C37" s="39">
        <f>IF(ISERROR(B37*3.6/1000000/'E Balans VL '!Z15*100),0,B37*3.6/1000000/'E Balans VL '!Z15*100)</f>
        <v>1.1283778347076223E-4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81.278000000000006</v>
      </c>
      <c r="C5" s="17">
        <f>'Eigen informatie GS &amp; warmtenet'!B60</f>
        <v>0</v>
      </c>
      <c r="D5" s="30">
        <f>IF(ISERROR(SUM(LB_lb_gas_kWh,LB_rest_gas_kWh)/1000),0,SUM(LB_lb_gas_kWh,LB_rest_gas_kWh)/1000)*0.902</f>
        <v>129.84921399999999</v>
      </c>
      <c r="E5" s="17">
        <f>B17*'E Balans VL '!I25/3.6*1000000/100</f>
        <v>2.3890086716655792</v>
      </c>
      <c r="F5" s="17">
        <f>B17*('E Balans VL '!L25/3.6*1000000+'E Balans VL '!N25/3.6*1000000)/100</f>
        <v>338.59975596740753</v>
      </c>
      <c r="G5" s="18"/>
      <c r="H5" s="17"/>
      <c r="I5" s="17"/>
      <c r="J5" s="17">
        <f>('E Balans VL '!D25+'E Balans VL '!E25)/3.6*1000000*landbouw!B17/100</f>
        <v>11.77543673496986</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81.278000000000006</v>
      </c>
      <c r="C8" s="21">
        <f>C5+C6</f>
        <v>0</v>
      </c>
      <c r="D8" s="21">
        <f>MAX((D5+D6),0)</f>
        <v>129.84921399999999</v>
      </c>
      <c r="E8" s="21">
        <f>MAX((E5+E6),0)</f>
        <v>2.3890086716655792</v>
      </c>
      <c r="F8" s="21">
        <f>MAX((F5+F6),0)</f>
        <v>338.59975596740753</v>
      </c>
      <c r="G8" s="21"/>
      <c r="H8" s="21"/>
      <c r="I8" s="21"/>
      <c r="J8" s="21">
        <f>MAX((J5+J6),0)</f>
        <v>11.77543673496986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0.20313770311457449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16.510626233746386</v>
      </c>
      <c r="C12" s="23">
        <f ca="1">C8*C10</f>
        <v>0</v>
      </c>
      <c r="D12" s="23">
        <f>D8*D10</f>
        <v>26.229541227999999</v>
      </c>
      <c r="E12" s="23">
        <f>E8*E10</f>
        <v>0.54230496846808651</v>
      </c>
      <c r="F12" s="23">
        <f>F8*F10</f>
        <v>90.406134843297821</v>
      </c>
      <c r="G12" s="23"/>
      <c r="H12" s="23"/>
      <c r="I12" s="23"/>
      <c r="J12" s="23">
        <f>J8*J10</f>
        <v>4.1685046041793301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1.1533603201948234E-2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34.920621003114633</v>
      </c>
      <c r="C26" s="247">
        <f>B26*'GWP N2O_CH4'!B5</f>
        <v>733.33304106540731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2.2594000124745577</v>
      </c>
      <c r="C27" s="247">
        <f>B27*'GWP N2O_CH4'!B5</f>
        <v>47.447400261965711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0.50919597064950328</v>
      </c>
      <c r="C28" s="247">
        <f>B28*'GWP N2O_CH4'!B4</f>
        <v>157.850750901346</v>
      </c>
      <c r="D28" s="50"/>
    </row>
    <row r="29" spans="1:4">
      <c r="A29" s="41" t="s">
        <v>277</v>
      </c>
      <c r="B29" s="247">
        <f>B34*'ha_N2O bodem landbouw'!B4</f>
        <v>4.3886543269070355</v>
      </c>
      <c r="C29" s="247">
        <f>B29*'GWP N2O_CH4'!B4</f>
        <v>1360.482841341181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1.0014757934245534E-3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1.45629662172303E-4</v>
      </c>
      <c r="C5" s="463" t="s">
        <v>211</v>
      </c>
      <c r="D5" s="448">
        <f>SUM(D6:D11)</f>
        <v>5.4523584499777621E-4</v>
      </c>
      <c r="E5" s="448">
        <f>SUM(E6:E11)</f>
        <v>7.8059390915130719E-4</v>
      </c>
      <c r="F5" s="461" t="s">
        <v>211</v>
      </c>
      <c r="G5" s="448">
        <f>SUM(G6:G11)</f>
        <v>0.26002793844461219</v>
      </c>
      <c r="H5" s="448">
        <f>SUM(H6:H11)</f>
        <v>6.2131916813615663E-2</v>
      </c>
      <c r="I5" s="463" t="s">
        <v>211</v>
      </c>
      <c r="J5" s="463" t="s">
        <v>211</v>
      </c>
      <c r="K5" s="463" t="s">
        <v>211</v>
      </c>
      <c r="L5" s="463" t="s">
        <v>211</v>
      </c>
      <c r="M5" s="448">
        <f>SUM(M6:M11)</f>
        <v>1.7025094687886041E-2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4.6432315163870877E-5</v>
      </c>
      <c r="C6" s="449"/>
      <c r="D6" s="892">
        <f>vkm_2011_GW_PW*SUMIFS(TableVerdeelsleutelVkm[CNG],TableVerdeelsleutelVkm[Voertuigtype],"Lichte voertuigen")*SUMIFS(TableECFTransport[EnergieConsumptieFactor (PJ per km)],TableECFTransport[Index],CONCATENATE($A6,"_CNG_CNG"))</f>
        <v>1.3927029576679386E-4</v>
      </c>
      <c r="E6" s="892">
        <f>vkm_2011_GW_PW*SUMIFS(TableVerdeelsleutelVkm[LPG],TableVerdeelsleutelVkm[Voertuigtype],"Lichte voertuigen")*SUMIFS(TableECFTransport[EnergieConsumptieFactor (PJ per km)],TableECFTransport[Index],CONCATENATE($A6,"_LPG_LPG"))</f>
        <v>1.9026322920952631E-4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4.9193349271596319E-2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1.5840393624827837E-2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3.3413859893035684E-3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2.0670108856510758E-2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6.2998291607183256E-6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1.2078914245855852E-3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4.3148131744334579E-5</v>
      </c>
      <c r="C8" s="449"/>
      <c r="D8" s="451">
        <f>vkm_2011_NGW_PW*SUMIFS(TableVerdeelsleutelVkm[CNG],TableVerdeelsleutelVkm[Voertuigtype],"Lichte voertuigen")*SUMIFS(TableECFTransport[EnergieConsumptieFactor (PJ per km)],TableECFTransport[Index],CONCATENATE($A8,"_CNG_CNG"))</f>
        <v>2.3010955275956445E-4</v>
      </c>
      <c r="E8" s="451">
        <f>vkm_2011_NGW_PW*SUMIFS(TableVerdeelsleutelVkm[LPG],TableVerdeelsleutelVkm[Voertuigtype],"Lichte voertuigen")*SUMIFS(TableECFTransport[EnergieConsumptieFactor (PJ per km)],TableECFTransport[Index],CONCATENATE($A8,"_LPG_LPG"))</f>
        <v>2.9113553461919899E-4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7.0147686092414424E-2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2.5433756592860332E-2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4.8486076233986101E-3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1.9172534353379116E-2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5.5010549737798113E-6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1.1203681273963891E-3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5.6049215264097561E-5</v>
      </c>
      <c r="C10" s="449"/>
      <c r="D10" s="451">
        <f>vkm_2011_SW_PW*SUMIFS(TableVerdeelsleutelVkm[CNG],TableVerdeelsleutelVkm[Voertuigtype],"Lichte voertuigen")*SUMIFS(TableECFTransport[EnergieConsumptieFactor (PJ per km)],TableECFTransport[Index],CONCATENATE($A10,"_CNG_CNG"))</f>
        <v>1.7585599647141796E-4</v>
      </c>
      <c r="E10" s="451">
        <f>vkm_2011_SW_PW*SUMIFS(TableVerdeelsleutelVkm[LPG],TableVerdeelsleutelVkm[Voertuigtype],"Lichte voertuigen")*SUMIFS(TableECFTransport[EnergieConsumptieFactor (PJ per km)],TableECFTransport[Index],CONCATENATE($A10,"_LPG_LPG"))</f>
        <v>2.9919514532258191E-4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6.8965158882574026E-2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2.0835473390012904E-2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4.6439115246445298E-3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3.1879100988137586E-2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1.0492321780096704E-5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1.8629299985573589E-3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40.452683936750837</v>
      </c>
      <c r="C14" s="21"/>
      <c r="D14" s="21">
        <f t="shared" ref="D14:M14" si="0">((D5)*10^9/3600)+D12</f>
        <v>151.45440138827118</v>
      </c>
      <c r="E14" s="21">
        <f t="shared" si="0"/>
        <v>216.83164143091867</v>
      </c>
      <c r="F14" s="21"/>
      <c r="G14" s="21">
        <f t="shared" si="0"/>
        <v>72229.982901281168</v>
      </c>
      <c r="H14" s="21">
        <f t="shared" si="0"/>
        <v>17258.865781559907</v>
      </c>
      <c r="I14" s="21"/>
      <c r="J14" s="21"/>
      <c r="K14" s="21"/>
      <c r="L14" s="21"/>
      <c r="M14" s="21">
        <f t="shared" si="0"/>
        <v>4729.1929688572336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0.20313770311457449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8.2174652997314084</v>
      </c>
      <c r="C18" s="23"/>
      <c r="D18" s="23">
        <f t="shared" ref="D18:M18" si="1">D14*D16</f>
        <v>30.593789080430781</v>
      </c>
      <c r="E18" s="23">
        <f t="shared" si="1"/>
        <v>49.220782604818538</v>
      </c>
      <c r="F18" s="23"/>
      <c r="G18" s="23">
        <f t="shared" si="1"/>
        <v>19285.405434642074</v>
      </c>
      <c r="H18" s="23">
        <f t="shared" si="1"/>
        <v>4297.4575796084173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3.6547418769140834E-3</v>
      </c>
      <c r="H50" s="321">
        <f t="shared" si="2"/>
        <v>0</v>
      </c>
      <c r="I50" s="321">
        <f t="shared" si="2"/>
        <v>0</v>
      </c>
      <c r="J50" s="321">
        <f t="shared" si="2"/>
        <v>0</v>
      </c>
      <c r="K50" s="321">
        <f t="shared" si="2"/>
        <v>0</v>
      </c>
      <c r="L50" s="321">
        <f t="shared" si="2"/>
        <v>0</v>
      </c>
      <c r="M50" s="321">
        <f t="shared" si="2"/>
        <v>2.0757320447153843E-4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3.6547418769140834E-3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2.0757320447153843E-4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1015.2060769205788</v>
      </c>
      <c r="H54" s="21">
        <f t="shared" si="3"/>
        <v>0</v>
      </c>
      <c r="I54" s="21">
        <f t="shared" si="3"/>
        <v>0</v>
      </c>
      <c r="J54" s="21">
        <f t="shared" si="3"/>
        <v>0</v>
      </c>
      <c r="K54" s="21">
        <f t="shared" si="3"/>
        <v>0</v>
      </c>
      <c r="L54" s="21">
        <f t="shared" si="3"/>
        <v>0</v>
      </c>
      <c r="M54" s="21">
        <f t="shared" si="3"/>
        <v>57.659223464316227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0.20313770311457449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271.06002253779457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7971.2028520000003</v>
      </c>
      <c r="D10" s="1013">
        <f ca="1">tertiair!C16</f>
        <v>0</v>
      </c>
      <c r="E10" s="1013">
        <f ca="1">tertiair!D16</f>
        <v>7898.1961300000003</v>
      </c>
      <c r="F10" s="1013">
        <f>tertiair!E16</f>
        <v>63.639510483680965</v>
      </c>
      <c r="G10" s="1013">
        <f ca="1">tertiair!F16</f>
        <v>1245.3260718743491</v>
      </c>
      <c r="H10" s="1013">
        <f>tertiair!G16</f>
        <v>0</v>
      </c>
      <c r="I10" s="1013">
        <f>tertiair!H16</f>
        <v>0</v>
      </c>
      <c r="J10" s="1013">
        <f>tertiair!I16</f>
        <v>0</v>
      </c>
      <c r="K10" s="1013">
        <f>tertiair!J16</f>
        <v>2.3637571461258555E-2</v>
      </c>
      <c r="L10" s="1013">
        <f>tertiair!K16</f>
        <v>0</v>
      </c>
      <c r="M10" s="1013">
        <f ca="1">tertiair!L16</f>
        <v>0</v>
      </c>
      <c r="N10" s="1013">
        <f>tertiair!M16</f>
        <v>0</v>
      </c>
      <c r="O10" s="1013">
        <f ca="1">tertiair!N16</f>
        <v>934.50556204731811</v>
      </c>
      <c r="P10" s="1013">
        <f>tertiair!O16</f>
        <v>4.6900000000000004</v>
      </c>
      <c r="Q10" s="1014">
        <f>tertiair!P16</f>
        <v>19.066666666666666</v>
      </c>
      <c r="R10" s="700">
        <f ca="1">SUM(C10:Q10)</f>
        <v>18136.650430643476</v>
      </c>
      <c r="S10" s="67"/>
    </row>
    <row r="11" spans="1:19" s="473" customFormat="1">
      <c r="A11" s="809" t="s">
        <v>225</v>
      </c>
      <c r="B11" s="814"/>
      <c r="C11" s="1013">
        <f>huishoudens!B8</f>
        <v>20346.122081621375</v>
      </c>
      <c r="D11" s="1013">
        <f>huishoudens!C8</f>
        <v>0</v>
      </c>
      <c r="E11" s="1013">
        <f>huishoudens!D8</f>
        <v>29209.387661299999</v>
      </c>
      <c r="F11" s="1013">
        <f>huishoudens!E8</f>
        <v>3076.6008427993297</v>
      </c>
      <c r="G11" s="1013">
        <f>huishoudens!F8</f>
        <v>33613.351375315469</v>
      </c>
      <c r="H11" s="1013">
        <f>huishoudens!G8</f>
        <v>0</v>
      </c>
      <c r="I11" s="1013">
        <f>huishoudens!H8</f>
        <v>0</v>
      </c>
      <c r="J11" s="1013">
        <f>huishoudens!I8</f>
        <v>0</v>
      </c>
      <c r="K11" s="1013">
        <f>huishoudens!J8</f>
        <v>0</v>
      </c>
      <c r="L11" s="1013">
        <f>huishoudens!K8</f>
        <v>0</v>
      </c>
      <c r="M11" s="1013">
        <f>huishoudens!L8</f>
        <v>0</v>
      </c>
      <c r="N11" s="1013">
        <f>huishoudens!M8</f>
        <v>0</v>
      </c>
      <c r="O11" s="1013">
        <f>huishoudens!N8</f>
        <v>9048.6025370185653</v>
      </c>
      <c r="P11" s="1013">
        <f>huishoudens!O8</f>
        <v>171.96666666666667</v>
      </c>
      <c r="Q11" s="1014">
        <f>huishoudens!P8</f>
        <v>762.66666666666674</v>
      </c>
      <c r="R11" s="700">
        <f>SUM(C11:Q11)</f>
        <v>96228.697831388068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700.73405600000001</v>
      </c>
      <c r="D13" s="1013">
        <f>industrie!C18</f>
        <v>0</v>
      </c>
      <c r="E13" s="1013">
        <f>industrie!D18</f>
        <v>416.07907000000006</v>
      </c>
      <c r="F13" s="1013">
        <f>industrie!E18</f>
        <v>146.47855956492759</v>
      </c>
      <c r="G13" s="1013">
        <f>industrie!F18</f>
        <v>415.22686930866951</v>
      </c>
      <c r="H13" s="1013">
        <f>industrie!G18</f>
        <v>0</v>
      </c>
      <c r="I13" s="1013">
        <f>industrie!H18</f>
        <v>0</v>
      </c>
      <c r="J13" s="1013">
        <f>industrie!I18</f>
        <v>0</v>
      </c>
      <c r="K13" s="1013">
        <f>industrie!J18</f>
        <v>5.0964609293523144E-2</v>
      </c>
      <c r="L13" s="1013">
        <f>industrie!K18</f>
        <v>0</v>
      </c>
      <c r="M13" s="1013">
        <f>industrie!L18</f>
        <v>0</v>
      </c>
      <c r="N13" s="1013">
        <f>industrie!M18</f>
        <v>0</v>
      </c>
      <c r="O13" s="1013">
        <f>industrie!N18</f>
        <v>175.66542129273316</v>
      </c>
      <c r="P13" s="1013">
        <f>industrie!O18</f>
        <v>0</v>
      </c>
      <c r="Q13" s="1014">
        <f>industrie!P18</f>
        <v>0</v>
      </c>
      <c r="R13" s="700">
        <f>SUM(C13:Q13)</f>
        <v>1854.2349407756237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29018.058989621379</v>
      </c>
      <c r="D16" s="732">
        <f t="shared" ref="D16:R16" ca="1" si="0">SUM(D9:D15)</f>
        <v>0</v>
      </c>
      <c r="E16" s="732">
        <f t="shared" ca="1" si="0"/>
        <v>37523.662861299999</v>
      </c>
      <c r="F16" s="732">
        <f t="shared" si="0"/>
        <v>3286.7189128479386</v>
      </c>
      <c r="G16" s="732">
        <f t="shared" ca="1" si="0"/>
        <v>35273.904316498483</v>
      </c>
      <c r="H16" s="732">
        <f t="shared" si="0"/>
        <v>0</v>
      </c>
      <c r="I16" s="732">
        <f t="shared" si="0"/>
        <v>0</v>
      </c>
      <c r="J16" s="732">
        <f t="shared" si="0"/>
        <v>0</v>
      </c>
      <c r="K16" s="732">
        <f t="shared" si="0"/>
        <v>7.46021807547817E-2</v>
      </c>
      <c r="L16" s="732">
        <f t="shared" si="0"/>
        <v>0</v>
      </c>
      <c r="M16" s="732">
        <f t="shared" ca="1" si="0"/>
        <v>0</v>
      </c>
      <c r="N16" s="732">
        <f t="shared" si="0"/>
        <v>0</v>
      </c>
      <c r="O16" s="732">
        <f t="shared" ca="1" si="0"/>
        <v>10158.773520358616</v>
      </c>
      <c r="P16" s="732">
        <f t="shared" si="0"/>
        <v>176.65666666666667</v>
      </c>
      <c r="Q16" s="732">
        <f t="shared" si="0"/>
        <v>781.73333333333346</v>
      </c>
      <c r="R16" s="732">
        <f t="shared" ca="1" si="0"/>
        <v>116219.58320280717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1015.2060769205788</v>
      </c>
      <c r="I19" s="1013">
        <f>transport!H54</f>
        <v>0</v>
      </c>
      <c r="J19" s="1013">
        <f>transport!I54</f>
        <v>0</v>
      </c>
      <c r="K19" s="1013">
        <f>transport!J54</f>
        <v>0</v>
      </c>
      <c r="L19" s="1013">
        <f>transport!K54</f>
        <v>0</v>
      </c>
      <c r="M19" s="1013">
        <f>transport!L54</f>
        <v>0</v>
      </c>
      <c r="N19" s="1013">
        <f>transport!M54</f>
        <v>57.659223464316227</v>
      </c>
      <c r="O19" s="1013">
        <f>transport!N54</f>
        <v>0</v>
      </c>
      <c r="P19" s="1013">
        <f>transport!O54</f>
        <v>0</v>
      </c>
      <c r="Q19" s="1014">
        <f>transport!P54</f>
        <v>0</v>
      </c>
      <c r="R19" s="700">
        <f>SUM(C19:Q19)</f>
        <v>1072.8653003848949</v>
      </c>
      <c r="S19" s="67"/>
    </row>
    <row r="20" spans="1:19" s="473" customFormat="1">
      <c r="A20" s="809" t="s">
        <v>307</v>
      </c>
      <c r="B20" s="814"/>
      <c r="C20" s="1013">
        <f>transport!B14</f>
        <v>40.452683936750837</v>
      </c>
      <c r="D20" s="1013">
        <f>transport!C14</f>
        <v>0</v>
      </c>
      <c r="E20" s="1013">
        <f>transport!D14</f>
        <v>151.45440138827118</v>
      </c>
      <c r="F20" s="1013">
        <f>transport!E14</f>
        <v>216.83164143091867</v>
      </c>
      <c r="G20" s="1013">
        <f>transport!F14</f>
        <v>0</v>
      </c>
      <c r="H20" s="1013">
        <f>transport!G14</f>
        <v>72229.982901281168</v>
      </c>
      <c r="I20" s="1013">
        <f>transport!H14</f>
        <v>17258.865781559907</v>
      </c>
      <c r="J20" s="1013">
        <f>transport!I14</f>
        <v>0</v>
      </c>
      <c r="K20" s="1013">
        <f>transport!J14</f>
        <v>0</v>
      </c>
      <c r="L20" s="1013">
        <f>transport!K14</f>
        <v>0</v>
      </c>
      <c r="M20" s="1013">
        <f>transport!L14</f>
        <v>0</v>
      </c>
      <c r="N20" s="1013">
        <f>transport!M14</f>
        <v>4729.1929688572336</v>
      </c>
      <c r="O20" s="1013">
        <f>transport!N14</f>
        <v>0</v>
      </c>
      <c r="P20" s="1013">
        <f>transport!O14</f>
        <v>0</v>
      </c>
      <c r="Q20" s="1014">
        <f>transport!P14</f>
        <v>0</v>
      </c>
      <c r="R20" s="700">
        <f>SUM(C20:Q20)</f>
        <v>94626.780378454234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40.452683936750837</v>
      </c>
      <c r="D22" s="812">
        <f t="shared" ref="D22:R22" si="1">SUM(D18:D21)</f>
        <v>0</v>
      </c>
      <c r="E22" s="812">
        <f t="shared" si="1"/>
        <v>151.45440138827118</v>
      </c>
      <c r="F22" s="812">
        <f t="shared" si="1"/>
        <v>216.83164143091867</v>
      </c>
      <c r="G22" s="812">
        <f t="shared" si="1"/>
        <v>0</v>
      </c>
      <c r="H22" s="812">
        <f t="shared" si="1"/>
        <v>73245.188978201753</v>
      </c>
      <c r="I22" s="812">
        <f t="shared" si="1"/>
        <v>17258.865781559907</v>
      </c>
      <c r="J22" s="812">
        <f t="shared" si="1"/>
        <v>0</v>
      </c>
      <c r="K22" s="812">
        <f t="shared" si="1"/>
        <v>0</v>
      </c>
      <c r="L22" s="812">
        <f t="shared" si="1"/>
        <v>0</v>
      </c>
      <c r="M22" s="812">
        <f t="shared" si="1"/>
        <v>0</v>
      </c>
      <c r="N22" s="812">
        <f t="shared" si="1"/>
        <v>4786.8521923215494</v>
      </c>
      <c r="O22" s="812">
        <f t="shared" si="1"/>
        <v>0</v>
      </c>
      <c r="P22" s="812">
        <f t="shared" si="1"/>
        <v>0</v>
      </c>
      <c r="Q22" s="812">
        <f t="shared" si="1"/>
        <v>0</v>
      </c>
      <c r="R22" s="812">
        <f t="shared" si="1"/>
        <v>95699.645678839122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81.278000000000006</v>
      </c>
      <c r="D24" s="1013">
        <f>+landbouw!C8</f>
        <v>0</v>
      </c>
      <c r="E24" s="1013">
        <f>+landbouw!D8</f>
        <v>129.84921399999999</v>
      </c>
      <c r="F24" s="1013">
        <f>+landbouw!E8</f>
        <v>2.3890086716655792</v>
      </c>
      <c r="G24" s="1013">
        <f>+landbouw!F8</f>
        <v>338.59975596740753</v>
      </c>
      <c r="H24" s="1013">
        <f>+landbouw!G8</f>
        <v>0</v>
      </c>
      <c r="I24" s="1013">
        <f>+landbouw!H8</f>
        <v>0</v>
      </c>
      <c r="J24" s="1013">
        <f>+landbouw!I8</f>
        <v>0</v>
      </c>
      <c r="K24" s="1013">
        <f>+landbouw!J8</f>
        <v>11.77543673496986</v>
      </c>
      <c r="L24" s="1013">
        <f>+landbouw!K8</f>
        <v>0</v>
      </c>
      <c r="M24" s="1013">
        <f>+landbouw!L8</f>
        <v>0</v>
      </c>
      <c r="N24" s="1013">
        <f>+landbouw!M8</f>
        <v>0</v>
      </c>
      <c r="O24" s="1013">
        <f>+landbouw!N8</f>
        <v>0</v>
      </c>
      <c r="P24" s="1013">
        <f>+landbouw!O8</f>
        <v>0</v>
      </c>
      <c r="Q24" s="1014">
        <f>+landbouw!P8</f>
        <v>0</v>
      </c>
      <c r="R24" s="700">
        <f>SUM(C24:Q24)</f>
        <v>563.89141537404294</v>
      </c>
      <c r="S24" s="67"/>
    </row>
    <row r="25" spans="1:19" s="473" customFormat="1" ht="15" thickBot="1">
      <c r="A25" s="831" t="s">
        <v>836</v>
      </c>
      <c r="B25" s="1016"/>
      <c r="C25" s="1017">
        <f>IF(Onbekend_ele_kWh="---",0,Onbekend_ele_kWh)/1000+IF(REST_rest_ele_kWh="---",0,REST_rest_ele_kWh)/1000</f>
        <v>747.495</v>
      </c>
      <c r="D25" s="1017"/>
      <c r="E25" s="1017">
        <f>IF(onbekend_gas_kWh="---",0,onbekend_gas_kWh)/1000+IF(REST_rest_gas_kWh="---",0,REST_rest_gas_kWh)/1000</f>
        <v>611.18805000000009</v>
      </c>
      <c r="F25" s="1017"/>
      <c r="G25" s="1017"/>
      <c r="H25" s="1017"/>
      <c r="I25" s="1017"/>
      <c r="J25" s="1017"/>
      <c r="K25" s="1017"/>
      <c r="L25" s="1017"/>
      <c r="M25" s="1017"/>
      <c r="N25" s="1017"/>
      <c r="O25" s="1017"/>
      <c r="P25" s="1017"/>
      <c r="Q25" s="1018"/>
      <c r="R25" s="700">
        <f>SUM(C25:Q25)</f>
        <v>1358.6830500000001</v>
      </c>
      <c r="S25" s="67"/>
    </row>
    <row r="26" spans="1:19" s="473" customFormat="1" ht="15.75" thickBot="1">
      <c r="A26" s="705" t="s">
        <v>837</v>
      </c>
      <c r="B26" s="817"/>
      <c r="C26" s="812">
        <f>SUM(C24:C25)</f>
        <v>828.77300000000002</v>
      </c>
      <c r="D26" s="812">
        <f t="shared" ref="D26:R26" si="2">SUM(D24:D25)</f>
        <v>0</v>
      </c>
      <c r="E26" s="812">
        <f t="shared" si="2"/>
        <v>741.03726400000005</v>
      </c>
      <c r="F26" s="812">
        <f t="shared" si="2"/>
        <v>2.3890086716655792</v>
      </c>
      <c r="G26" s="812">
        <f t="shared" si="2"/>
        <v>338.59975596740753</v>
      </c>
      <c r="H26" s="812">
        <f t="shared" si="2"/>
        <v>0</v>
      </c>
      <c r="I26" s="812">
        <f t="shared" si="2"/>
        <v>0</v>
      </c>
      <c r="J26" s="812">
        <f t="shared" si="2"/>
        <v>0</v>
      </c>
      <c r="K26" s="812">
        <f t="shared" si="2"/>
        <v>11.77543673496986</v>
      </c>
      <c r="L26" s="812">
        <f t="shared" si="2"/>
        <v>0</v>
      </c>
      <c r="M26" s="812">
        <f t="shared" si="2"/>
        <v>0</v>
      </c>
      <c r="N26" s="812">
        <f t="shared" si="2"/>
        <v>0</v>
      </c>
      <c r="O26" s="812">
        <f t="shared" si="2"/>
        <v>0</v>
      </c>
      <c r="P26" s="812">
        <f t="shared" si="2"/>
        <v>0</v>
      </c>
      <c r="Q26" s="812">
        <f t="shared" si="2"/>
        <v>0</v>
      </c>
      <c r="R26" s="812">
        <f t="shared" si="2"/>
        <v>1922.574465374043</v>
      </c>
      <c r="S26" s="67"/>
    </row>
    <row r="27" spans="1:19" s="473" customFormat="1" ht="17.25" thickTop="1" thickBot="1">
      <c r="A27" s="706" t="s">
        <v>116</v>
      </c>
      <c r="B27" s="805"/>
      <c r="C27" s="707">
        <f ca="1">C22+C16+C26</f>
        <v>29887.28467355813</v>
      </c>
      <c r="D27" s="707">
        <f t="shared" ref="D27:R27" ca="1" si="3">D22+D16+D26</f>
        <v>0</v>
      </c>
      <c r="E27" s="707">
        <f t="shared" ca="1" si="3"/>
        <v>38416.154526688268</v>
      </c>
      <c r="F27" s="707">
        <f t="shared" si="3"/>
        <v>3505.9395629505229</v>
      </c>
      <c r="G27" s="707">
        <f t="shared" ca="1" si="3"/>
        <v>35612.50407246589</v>
      </c>
      <c r="H27" s="707">
        <f t="shared" si="3"/>
        <v>73245.188978201753</v>
      </c>
      <c r="I27" s="707">
        <f t="shared" si="3"/>
        <v>17258.865781559907</v>
      </c>
      <c r="J27" s="707">
        <f t="shared" si="3"/>
        <v>0</v>
      </c>
      <c r="K27" s="707">
        <f t="shared" si="3"/>
        <v>11.850038915724642</v>
      </c>
      <c r="L27" s="707">
        <f t="shared" si="3"/>
        <v>0</v>
      </c>
      <c r="M27" s="707">
        <f t="shared" ca="1" si="3"/>
        <v>0</v>
      </c>
      <c r="N27" s="707">
        <f t="shared" si="3"/>
        <v>4786.8521923215494</v>
      </c>
      <c r="O27" s="707">
        <f t="shared" ca="1" si="3"/>
        <v>10158.773520358616</v>
      </c>
      <c r="P27" s="707">
        <f t="shared" si="3"/>
        <v>176.65666666666667</v>
      </c>
      <c r="Q27" s="707">
        <f t="shared" si="3"/>
        <v>781.73333333333346</v>
      </c>
      <c r="R27" s="707">
        <f t="shared" ca="1" si="3"/>
        <v>213841.80334702035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1619.2518384156256</v>
      </c>
      <c r="D40" s="1013">
        <f ca="1">tertiair!C20</f>
        <v>0</v>
      </c>
      <c r="E40" s="1013">
        <f ca="1">tertiair!D20</f>
        <v>1595.4356182600002</v>
      </c>
      <c r="F40" s="1013">
        <f>tertiair!E20</f>
        <v>14.446168879795579</v>
      </c>
      <c r="G40" s="1013">
        <f ca="1">tertiair!F20</f>
        <v>332.50206119045123</v>
      </c>
      <c r="H40" s="1013">
        <f>tertiair!G20</f>
        <v>0</v>
      </c>
      <c r="I40" s="1013">
        <f>tertiair!H20</f>
        <v>0</v>
      </c>
      <c r="J40" s="1013">
        <f>tertiair!I20</f>
        <v>0</v>
      </c>
      <c r="K40" s="1013">
        <f>tertiair!J20</f>
        <v>8.3677002972855283E-3</v>
      </c>
      <c r="L40" s="1013">
        <f>tertiair!K20</f>
        <v>0</v>
      </c>
      <c r="M40" s="1013">
        <f ca="1">tertiair!L20</f>
        <v>0</v>
      </c>
      <c r="N40" s="1013">
        <f>tertiair!M20</f>
        <v>0</v>
      </c>
      <c r="O40" s="1013">
        <f ca="1">tertiair!N20</f>
        <v>0</v>
      </c>
      <c r="P40" s="1013">
        <f>tertiair!O20</f>
        <v>0</v>
      </c>
      <c r="Q40" s="774">
        <f>tertiair!P20</f>
        <v>0</v>
      </c>
      <c r="R40" s="850">
        <f t="shared" ca="1" si="4"/>
        <v>3561.6440544461698</v>
      </c>
    </row>
    <row r="41" spans="1:18">
      <c r="A41" s="822" t="s">
        <v>225</v>
      </c>
      <c r="B41" s="829"/>
      <c r="C41" s="1013">
        <f ca="1">huishoudens!B12</f>
        <v>4133.0645069492912</v>
      </c>
      <c r="D41" s="1013">
        <f ca="1">huishoudens!C12</f>
        <v>0</v>
      </c>
      <c r="E41" s="1013">
        <f>huishoudens!D12</f>
        <v>5900.2963075826001</v>
      </c>
      <c r="F41" s="1013">
        <f>huishoudens!E12</f>
        <v>698.38839131544785</v>
      </c>
      <c r="G41" s="1013">
        <f>huishoudens!F12</f>
        <v>8974.7648172092304</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19706.514023056567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142.34550662999962</v>
      </c>
      <c r="D43" s="1013">
        <f ca="1">industrie!C22</f>
        <v>0</v>
      </c>
      <c r="E43" s="1013">
        <f>industrie!D22</f>
        <v>84.047972140000013</v>
      </c>
      <c r="F43" s="1013">
        <f>industrie!E22</f>
        <v>33.250633021238563</v>
      </c>
      <c r="G43" s="1013">
        <f>industrie!F22</f>
        <v>110.86557410541477</v>
      </c>
      <c r="H43" s="1013">
        <f>industrie!G22</f>
        <v>0</v>
      </c>
      <c r="I43" s="1013">
        <f>industrie!H22</f>
        <v>0</v>
      </c>
      <c r="J43" s="1013">
        <f>industrie!I22</f>
        <v>0</v>
      </c>
      <c r="K43" s="1013">
        <f>industrie!J22</f>
        <v>1.8041471689907194E-2</v>
      </c>
      <c r="L43" s="1013">
        <f>industrie!K22</f>
        <v>0</v>
      </c>
      <c r="M43" s="1013">
        <f>industrie!L22</f>
        <v>0</v>
      </c>
      <c r="N43" s="1013">
        <f>industrie!M22</f>
        <v>0</v>
      </c>
      <c r="O43" s="1013">
        <f>industrie!N22</f>
        <v>0</v>
      </c>
      <c r="P43" s="1013">
        <f>industrie!O22</f>
        <v>0</v>
      </c>
      <c r="Q43" s="774">
        <f>industrie!P22</f>
        <v>0</v>
      </c>
      <c r="R43" s="849">
        <f t="shared" ca="1" si="4"/>
        <v>370.52772736834288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5894.6618519949161</v>
      </c>
      <c r="D46" s="732">
        <f t="shared" ref="D46:Q46" ca="1" si="5">SUM(D39:D45)</f>
        <v>0</v>
      </c>
      <c r="E46" s="732">
        <f t="shared" ca="1" si="5"/>
        <v>7579.7798979826002</v>
      </c>
      <c r="F46" s="732">
        <f t="shared" si="5"/>
        <v>746.08519321648191</v>
      </c>
      <c r="G46" s="732">
        <f t="shared" ca="1" si="5"/>
        <v>9418.1324525050968</v>
      </c>
      <c r="H46" s="732">
        <f t="shared" si="5"/>
        <v>0</v>
      </c>
      <c r="I46" s="732">
        <f t="shared" si="5"/>
        <v>0</v>
      </c>
      <c r="J46" s="732">
        <f t="shared" si="5"/>
        <v>0</v>
      </c>
      <c r="K46" s="732">
        <f t="shared" si="5"/>
        <v>2.6409171987192722E-2</v>
      </c>
      <c r="L46" s="732">
        <f t="shared" si="5"/>
        <v>0</v>
      </c>
      <c r="M46" s="732">
        <f t="shared" ca="1" si="5"/>
        <v>0</v>
      </c>
      <c r="N46" s="732">
        <f t="shared" si="5"/>
        <v>0</v>
      </c>
      <c r="O46" s="732">
        <f t="shared" ca="1" si="5"/>
        <v>0</v>
      </c>
      <c r="P46" s="732">
        <f t="shared" si="5"/>
        <v>0</v>
      </c>
      <c r="Q46" s="732">
        <f t="shared" si="5"/>
        <v>0</v>
      </c>
      <c r="R46" s="732">
        <f ca="1">SUM(R39:R45)</f>
        <v>23638.685804871078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271.06002253779457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271.06002253779457</v>
      </c>
    </row>
    <row r="50" spans="1:18">
      <c r="A50" s="825" t="s">
        <v>307</v>
      </c>
      <c r="B50" s="835"/>
      <c r="C50" s="703">
        <f ca="1">transport!B18</f>
        <v>8.2174652997314084</v>
      </c>
      <c r="D50" s="703">
        <f>transport!C18</f>
        <v>0</v>
      </c>
      <c r="E50" s="703">
        <f>transport!D18</f>
        <v>30.593789080430781</v>
      </c>
      <c r="F50" s="703">
        <f>transport!E18</f>
        <v>49.220782604818538</v>
      </c>
      <c r="G50" s="703">
        <f>transport!F18</f>
        <v>0</v>
      </c>
      <c r="H50" s="703">
        <f>transport!G18</f>
        <v>19285.405434642074</v>
      </c>
      <c r="I50" s="703">
        <f>transport!H18</f>
        <v>4297.4575796084173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23670.895051235471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8.2174652997314084</v>
      </c>
      <c r="D52" s="732">
        <f t="shared" ref="D52:Q52" ca="1" si="6">SUM(D48:D51)</f>
        <v>0</v>
      </c>
      <c r="E52" s="732">
        <f t="shared" si="6"/>
        <v>30.593789080430781</v>
      </c>
      <c r="F52" s="732">
        <f t="shared" si="6"/>
        <v>49.220782604818538</v>
      </c>
      <c r="G52" s="732">
        <f t="shared" si="6"/>
        <v>0</v>
      </c>
      <c r="H52" s="732">
        <f t="shared" si="6"/>
        <v>19556.465457179867</v>
      </c>
      <c r="I52" s="732">
        <f t="shared" si="6"/>
        <v>4297.4575796084173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23941.955073773264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16.510626233746386</v>
      </c>
      <c r="D54" s="703">
        <f ca="1">+landbouw!C12</f>
        <v>0</v>
      </c>
      <c r="E54" s="703">
        <f>+landbouw!D12</f>
        <v>26.229541227999999</v>
      </c>
      <c r="F54" s="703">
        <f>+landbouw!E12</f>
        <v>0.54230496846808651</v>
      </c>
      <c r="G54" s="703">
        <f>+landbouw!F12</f>
        <v>90.406134843297821</v>
      </c>
      <c r="H54" s="703">
        <f>+landbouw!G12</f>
        <v>0</v>
      </c>
      <c r="I54" s="703">
        <f>+landbouw!H12</f>
        <v>0</v>
      </c>
      <c r="J54" s="703">
        <f>+landbouw!I12</f>
        <v>0</v>
      </c>
      <c r="K54" s="703">
        <f>+landbouw!J12</f>
        <v>4.1685046041793301</v>
      </c>
      <c r="L54" s="703">
        <f>+landbouw!K12</f>
        <v>0</v>
      </c>
      <c r="M54" s="703">
        <f>+landbouw!L12</f>
        <v>0</v>
      </c>
      <c r="N54" s="703">
        <f>+landbouw!M12</f>
        <v>0</v>
      </c>
      <c r="O54" s="703">
        <f>+landbouw!N12</f>
        <v>0</v>
      </c>
      <c r="P54" s="703">
        <f>+landbouw!O12</f>
        <v>0</v>
      </c>
      <c r="Q54" s="704">
        <f>+landbouw!P12</f>
        <v>0</v>
      </c>
      <c r="R54" s="731">
        <f ca="1">SUM(C54:Q54)</f>
        <v>137.85711187769161</v>
      </c>
    </row>
    <row r="55" spans="1:18" ht="15" thickBot="1">
      <c r="A55" s="825" t="s">
        <v>836</v>
      </c>
      <c r="B55" s="835"/>
      <c r="C55" s="703">
        <f ca="1">C25*'EF ele_warmte'!B12</f>
        <v>151.84441738962886</v>
      </c>
      <c r="D55" s="703"/>
      <c r="E55" s="703">
        <f>E25*EF_CO2_aardgas</f>
        <v>123.45998610000002</v>
      </c>
      <c r="F55" s="703"/>
      <c r="G55" s="703"/>
      <c r="H55" s="703"/>
      <c r="I55" s="703"/>
      <c r="J55" s="703"/>
      <c r="K55" s="703"/>
      <c r="L55" s="703"/>
      <c r="M55" s="703"/>
      <c r="N55" s="703"/>
      <c r="O55" s="703"/>
      <c r="P55" s="703"/>
      <c r="Q55" s="704"/>
      <c r="R55" s="731">
        <f ca="1">SUM(C55:Q55)</f>
        <v>275.3044034896289</v>
      </c>
    </row>
    <row r="56" spans="1:18" ht="15.75" thickBot="1">
      <c r="A56" s="823" t="s">
        <v>837</v>
      </c>
      <c r="B56" s="836"/>
      <c r="C56" s="732">
        <f ca="1">SUM(C54:C55)</f>
        <v>168.35504362337525</v>
      </c>
      <c r="D56" s="732">
        <f t="shared" ref="D56:Q56" ca="1" si="7">SUM(D54:D55)</f>
        <v>0</v>
      </c>
      <c r="E56" s="732">
        <f t="shared" si="7"/>
        <v>149.68952732800003</v>
      </c>
      <c r="F56" s="732">
        <f t="shared" si="7"/>
        <v>0.54230496846808651</v>
      </c>
      <c r="G56" s="732">
        <f t="shared" si="7"/>
        <v>90.406134843297821</v>
      </c>
      <c r="H56" s="732">
        <f t="shared" si="7"/>
        <v>0</v>
      </c>
      <c r="I56" s="732">
        <f t="shared" si="7"/>
        <v>0</v>
      </c>
      <c r="J56" s="732">
        <f t="shared" si="7"/>
        <v>0</v>
      </c>
      <c r="K56" s="732">
        <f t="shared" si="7"/>
        <v>4.1685046041793301</v>
      </c>
      <c r="L56" s="732">
        <f t="shared" si="7"/>
        <v>0</v>
      </c>
      <c r="M56" s="732">
        <f t="shared" si="7"/>
        <v>0</v>
      </c>
      <c r="N56" s="732">
        <f t="shared" si="7"/>
        <v>0</v>
      </c>
      <c r="O56" s="732">
        <f t="shared" si="7"/>
        <v>0</v>
      </c>
      <c r="P56" s="732">
        <f t="shared" si="7"/>
        <v>0</v>
      </c>
      <c r="Q56" s="733">
        <f t="shared" si="7"/>
        <v>0</v>
      </c>
      <c r="R56" s="734">
        <f ca="1">SUM(R54:R55)</f>
        <v>413.16151536732048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6071.2343609180225</v>
      </c>
      <c r="D61" s="740">
        <f t="shared" ref="D61:Q61" ca="1" si="8">D46+D52+D56</f>
        <v>0</v>
      </c>
      <c r="E61" s="740">
        <f t="shared" ca="1" si="8"/>
        <v>7760.0632143910307</v>
      </c>
      <c r="F61" s="740">
        <f t="shared" si="8"/>
        <v>795.84828078976852</v>
      </c>
      <c r="G61" s="740">
        <f t="shared" ca="1" si="8"/>
        <v>9508.5385873483938</v>
      </c>
      <c r="H61" s="740">
        <f t="shared" si="8"/>
        <v>19556.465457179867</v>
      </c>
      <c r="I61" s="740">
        <f t="shared" si="8"/>
        <v>4297.4575796084173</v>
      </c>
      <c r="J61" s="740">
        <f t="shared" si="8"/>
        <v>0</v>
      </c>
      <c r="K61" s="740">
        <f t="shared" si="8"/>
        <v>4.1949137761665227</v>
      </c>
      <c r="L61" s="740">
        <f t="shared" si="8"/>
        <v>0</v>
      </c>
      <c r="M61" s="740">
        <f t="shared" ca="1" si="8"/>
        <v>0</v>
      </c>
      <c r="N61" s="740">
        <f t="shared" si="8"/>
        <v>0</v>
      </c>
      <c r="O61" s="740">
        <f t="shared" ca="1" si="8"/>
        <v>0</v>
      </c>
      <c r="P61" s="740">
        <f t="shared" si="8"/>
        <v>0</v>
      </c>
      <c r="Q61" s="740">
        <f t="shared" si="8"/>
        <v>0</v>
      </c>
      <c r="R61" s="740">
        <f ca="1">R46+R52+R56</f>
        <v>47993.802394011662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0.20313770311457444</v>
      </c>
      <c r="D63" s="781">
        <f t="shared" ca="1" si="9"/>
        <v>0</v>
      </c>
      <c r="E63" s="1024">
        <f t="shared" ca="1" si="9"/>
        <v>0.20200000000000001</v>
      </c>
      <c r="F63" s="781">
        <f t="shared" si="9"/>
        <v>0.22699999999999995</v>
      </c>
      <c r="G63" s="781">
        <f t="shared" ca="1" si="9"/>
        <v>0.26700000000000002</v>
      </c>
      <c r="H63" s="781">
        <f t="shared" si="9"/>
        <v>0.26700000000000002</v>
      </c>
      <c r="I63" s="781">
        <f t="shared" si="9"/>
        <v>0.24900000000000003</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2415.6359816213744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2415.6359816213744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2415.6359816213744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2415.6359816213744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20346.122081621375</v>
      </c>
      <c r="C4" s="477">
        <f>huishoudens!C8</f>
        <v>0</v>
      </c>
      <c r="D4" s="477">
        <f>huishoudens!D8</f>
        <v>29209.387661299999</v>
      </c>
      <c r="E4" s="477">
        <f>huishoudens!E8</f>
        <v>3076.6008427993297</v>
      </c>
      <c r="F4" s="477">
        <f>huishoudens!F8</f>
        <v>33613.351375315469</v>
      </c>
      <c r="G4" s="477">
        <f>huishoudens!G8</f>
        <v>0</v>
      </c>
      <c r="H4" s="477">
        <f>huishoudens!H8</f>
        <v>0</v>
      </c>
      <c r="I4" s="477">
        <f>huishoudens!I8</f>
        <v>0</v>
      </c>
      <c r="J4" s="477">
        <f>huishoudens!J8</f>
        <v>0</v>
      </c>
      <c r="K4" s="477">
        <f>huishoudens!K8</f>
        <v>0</v>
      </c>
      <c r="L4" s="477">
        <f>huishoudens!L8</f>
        <v>0</v>
      </c>
      <c r="M4" s="477">
        <f>huishoudens!M8</f>
        <v>0</v>
      </c>
      <c r="N4" s="477">
        <f>huishoudens!N8</f>
        <v>9048.6025370185653</v>
      </c>
      <c r="O4" s="477">
        <f>huishoudens!O8</f>
        <v>171.96666666666667</v>
      </c>
      <c r="P4" s="478">
        <f>huishoudens!P8</f>
        <v>762.66666666666674</v>
      </c>
      <c r="Q4" s="479">
        <f>SUM(B4:P4)</f>
        <v>96228.697831388068</v>
      </c>
    </row>
    <row r="5" spans="1:17">
      <c r="A5" s="476" t="s">
        <v>156</v>
      </c>
      <c r="B5" s="477">
        <f ca="1">tertiair!B16</f>
        <v>7296.6798520000002</v>
      </c>
      <c r="C5" s="477">
        <f ca="1">tertiair!C16</f>
        <v>0</v>
      </c>
      <c r="D5" s="477">
        <f ca="1">tertiair!D16</f>
        <v>7898.1961300000003</v>
      </c>
      <c r="E5" s="477">
        <f>tertiair!E16</f>
        <v>63.639510483680965</v>
      </c>
      <c r="F5" s="477">
        <f ca="1">tertiair!F16</f>
        <v>1245.3260718743491</v>
      </c>
      <c r="G5" s="477">
        <f>tertiair!G16</f>
        <v>0</v>
      </c>
      <c r="H5" s="477">
        <f>tertiair!H16</f>
        <v>0</v>
      </c>
      <c r="I5" s="477">
        <f>tertiair!I16</f>
        <v>0</v>
      </c>
      <c r="J5" s="477">
        <f>tertiair!J16</f>
        <v>2.3637571461258555E-2</v>
      </c>
      <c r="K5" s="477">
        <f>tertiair!K16</f>
        <v>0</v>
      </c>
      <c r="L5" s="477">
        <f ca="1">tertiair!L16</f>
        <v>0</v>
      </c>
      <c r="M5" s="477">
        <f>tertiair!M16</f>
        <v>0</v>
      </c>
      <c r="N5" s="477">
        <f ca="1">tertiair!N16</f>
        <v>934.50556204731811</v>
      </c>
      <c r="O5" s="477">
        <f>tertiair!O16</f>
        <v>4.6900000000000004</v>
      </c>
      <c r="P5" s="478">
        <f>tertiair!P16</f>
        <v>19.066666666666666</v>
      </c>
      <c r="Q5" s="476">
        <f t="shared" ref="Q5:Q14" ca="1" si="0">SUM(B5:P5)</f>
        <v>17462.127430643475</v>
      </c>
    </row>
    <row r="6" spans="1:17">
      <c r="A6" s="476" t="s">
        <v>194</v>
      </c>
      <c r="B6" s="477">
        <f>'openbare verlichting'!B8</f>
        <v>674.52300000000002</v>
      </c>
      <c r="C6" s="477"/>
      <c r="D6" s="477"/>
      <c r="E6" s="477"/>
      <c r="F6" s="477"/>
      <c r="G6" s="477"/>
      <c r="H6" s="477"/>
      <c r="I6" s="477"/>
      <c r="J6" s="477"/>
      <c r="K6" s="477"/>
      <c r="L6" s="477"/>
      <c r="M6" s="477"/>
      <c r="N6" s="477"/>
      <c r="O6" s="477"/>
      <c r="P6" s="478"/>
      <c r="Q6" s="476">
        <f t="shared" si="0"/>
        <v>674.52300000000002</v>
      </c>
    </row>
    <row r="7" spans="1:17">
      <c r="A7" s="476" t="s">
        <v>112</v>
      </c>
      <c r="B7" s="477">
        <f>landbouw!B8</f>
        <v>81.278000000000006</v>
      </c>
      <c r="C7" s="477">
        <f>landbouw!C8</f>
        <v>0</v>
      </c>
      <c r="D7" s="477">
        <f>landbouw!D8</f>
        <v>129.84921399999999</v>
      </c>
      <c r="E7" s="477">
        <f>landbouw!E8</f>
        <v>2.3890086716655792</v>
      </c>
      <c r="F7" s="477">
        <f>landbouw!F8</f>
        <v>338.59975596740753</v>
      </c>
      <c r="G7" s="477">
        <f>landbouw!G8</f>
        <v>0</v>
      </c>
      <c r="H7" s="477">
        <f>landbouw!H8</f>
        <v>0</v>
      </c>
      <c r="I7" s="477">
        <f>landbouw!I8</f>
        <v>0</v>
      </c>
      <c r="J7" s="477">
        <f>landbouw!J8</f>
        <v>11.77543673496986</v>
      </c>
      <c r="K7" s="477">
        <f>landbouw!K8</f>
        <v>0</v>
      </c>
      <c r="L7" s="477">
        <f>landbouw!L8</f>
        <v>0</v>
      </c>
      <c r="M7" s="477">
        <f>landbouw!M8</f>
        <v>0</v>
      </c>
      <c r="N7" s="477">
        <f>landbouw!N8</f>
        <v>0</v>
      </c>
      <c r="O7" s="477">
        <f>landbouw!O8</f>
        <v>0</v>
      </c>
      <c r="P7" s="478">
        <f>landbouw!P8</f>
        <v>0</v>
      </c>
      <c r="Q7" s="476">
        <f t="shared" si="0"/>
        <v>563.89141537404294</v>
      </c>
    </row>
    <row r="8" spans="1:17">
      <c r="A8" s="476" t="s">
        <v>635</v>
      </c>
      <c r="B8" s="477">
        <f>industrie!B18</f>
        <v>700.73405600000001</v>
      </c>
      <c r="C8" s="477">
        <f>industrie!C18</f>
        <v>0</v>
      </c>
      <c r="D8" s="477">
        <f>industrie!D18</f>
        <v>416.07907000000006</v>
      </c>
      <c r="E8" s="477">
        <f>industrie!E18</f>
        <v>146.47855956492759</v>
      </c>
      <c r="F8" s="477">
        <f>industrie!F18</f>
        <v>415.22686930866951</v>
      </c>
      <c r="G8" s="477">
        <f>industrie!G18</f>
        <v>0</v>
      </c>
      <c r="H8" s="477">
        <f>industrie!H18</f>
        <v>0</v>
      </c>
      <c r="I8" s="477">
        <f>industrie!I18</f>
        <v>0</v>
      </c>
      <c r="J8" s="477">
        <f>industrie!J18</f>
        <v>5.0964609293523144E-2</v>
      </c>
      <c r="K8" s="477">
        <f>industrie!K18</f>
        <v>0</v>
      </c>
      <c r="L8" s="477">
        <f>industrie!L18</f>
        <v>0</v>
      </c>
      <c r="M8" s="477">
        <f>industrie!M18</f>
        <v>0</v>
      </c>
      <c r="N8" s="477">
        <f>industrie!N18</f>
        <v>175.66542129273316</v>
      </c>
      <c r="O8" s="477">
        <f>industrie!O18</f>
        <v>0</v>
      </c>
      <c r="P8" s="478">
        <f>industrie!P18</f>
        <v>0</v>
      </c>
      <c r="Q8" s="476">
        <f t="shared" si="0"/>
        <v>1854.2349407756237</v>
      </c>
    </row>
    <row r="9" spans="1:17" s="482" customFormat="1">
      <c r="A9" s="480" t="s">
        <v>561</v>
      </c>
      <c r="B9" s="481">
        <f>transport!B14</f>
        <v>40.452683936750837</v>
      </c>
      <c r="C9" s="481">
        <f>transport!C14</f>
        <v>0</v>
      </c>
      <c r="D9" s="481">
        <f>transport!D14</f>
        <v>151.45440138827118</v>
      </c>
      <c r="E9" s="481">
        <f>transport!E14</f>
        <v>216.83164143091867</v>
      </c>
      <c r="F9" s="481">
        <f>transport!F14</f>
        <v>0</v>
      </c>
      <c r="G9" s="481">
        <f>transport!G14</f>
        <v>72229.982901281168</v>
      </c>
      <c r="H9" s="481">
        <f>transport!H14</f>
        <v>17258.865781559907</v>
      </c>
      <c r="I9" s="481">
        <f>transport!I14</f>
        <v>0</v>
      </c>
      <c r="J9" s="481">
        <f>transport!J14</f>
        <v>0</v>
      </c>
      <c r="K9" s="481">
        <f>transport!K14</f>
        <v>0</v>
      </c>
      <c r="L9" s="481">
        <f>transport!L14</f>
        <v>0</v>
      </c>
      <c r="M9" s="481">
        <f>transport!M14</f>
        <v>4729.1929688572336</v>
      </c>
      <c r="N9" s="481">
        <f>transport!N14</f>
        <v>0</v>
      </c>
      <c r="O9" s="481">
        <f>transport!O14</f>
        <v>0</v>
      </c>
      <c r="P9" s="481">
        <f>transport!P14</f>
        <v>0</v>
      </c>
      <c r="Q9" s="480">
        <f>SUM(B9:P9)</f>
        <v>94626.780378454234</v>
      </c>
    </row>
    <row r="10" spans="1:17">
      <c r="A10" s="476" t="s">
        <v>551</v>
      </c>
      <c r="B10" s="477">
        <f>transport!B54</f>
        <v>0</v>
      </c>
      <c r="C10" s="477">
        <f>transport!C54</f>
        <v>0</v>
      </c>
      <c r="D10" s="477">
        <f>transport!D54</f>
        <v>0</v>
      </c>
      <c r="E10" s="477">
        <f>transport!E54</f>
        <v>0</v>
      </c>
      <c r="F10" s="477">
        <f>transport!F54</f>
        <v>0</v>
      </c>
      <c r="G10" s="477">
        <f>transport!G54</f>
        <v>1015.2060769205788</v>
      </c>
      <c r="H10" s="477">
        <f>transport!H54</f>
        <v>0</v>
      </c>
      <c r="I10" s="477">
        <f>transport!I54</f>
        <v>0</v>
      </c>
      <c r="J10" s="477">
        <f>transport!J54</f>
        <v>0</v>
      </c>
      <c r="K10" s="477">
        <f>transport!K54</f>
        <v>0</v>
      </c>
      <c r="L10" s="477">
        <f>transport!L54</f>
        <v>0</v>
      </c>
      <c r="M10" s="477">
        <f>transport!M54</f>
        <v>57.659223464316227</v>
      </c>
      <c r="N10" s="477">
        <f>transport!N54</f>
        <v>0</v>
      </c>
      <c r="O10" s="477">
        <f>transport!O54</f>
        <v>0</v>
      </c>
      <c r="P10" s="478">
        <f>transport!P54</f>
        <v>0</v>
      </c>
      <c r="Q10" s="476">
        <f t="shared" si="0"/>
        <v>1072.8653003848949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747.495</v>
      </c>
      <c r="C14" s="484"/>
      <c r="D14" s="484">
        <f>'SEAP template'!E25</f>
        <v>611.18805000000009</v>
      </c>
      <c r="E14" s="484"/>
      <c r="F14" s="484"/>
      <c r="G14" s="484"/>
      <c r="H14" s="484"/>
      <c r="I14" s="484"/>
      <c r="J14" s="484"/>
      <c r="K14" s="484"/>
      <c r="L14" s="484"/>
      <c r="M14" s="484"/>
      <c r="N14" s="484"/>
      <c r="O14" s="484"/>
      <c r="P14" s="485"/>
      <c r="Q14" s="476">
        <f t="shared" si="0"/>
        <v>1358.6830500000001</v>
      </c>
    </row>
    <row r="15" spans="1:17" s="486" customFormat="1">
      <c r="A15" s="1039" t="s">
        <v>555</v>
      </c>
      <c r="B15" s="987">
        <f ca="1">SUM(B4:B14)</f>
        <v>29887.284673558126</v>
      </c>
      <c r="C15" s="987">
        <f t="shared" ref="C15:Q15" ca="1" si="1">SUM(C4:C14)</f>
        <v>0</v>
      </c>
      <c r="D15" s="987">
        <f t="shared" ca="1" si="1"/>
        <v>38416.154526688268</v>
      </c>
      <c r="E15" s="987">
        <f t="shared" si="1"/>
        <v>3505.9395629505229</v>
      </c>
      <c r="F15" s="987">
        <f t="shared" ca="1" si="1"/>
        <v>35612.50407246589</v>
      </c>
      <c r="G15" s="987">
        <f t="shared" si="1"/>
        <v>73245.188978201753</v>
      </c>
      <c r="H15" s="987">
        <f t="shared" si="1"/>
        <v>17258.865781559907</v>
      </c>
      <c r="I15" s="987">
        <f t="shared" si="1"/>
        <v>0</v>
      </c>
      <c r="J15" s="987">
        <f t="shared" si="1"/>
        <v>11.850038915724641</v>
      </c>
      <c r="K15" s="987">
        <f t="shared" si="1"/>
        <v>0</v>
      </c>
      <c r="L15" s="987">
        <f t="shared" ca="1" si="1"/>
        <v>0</v>
      </c>
      <c r="M15" s="987">
        <f t="shared" si="1"/>
        <v>4786.8521923215494</v>
      </c>
      <c r="N15" s="987">
        <f t="shared" ca="1" si="1"/>
        <v>10158.773520358616</v>
      </c>
      <c r="O15" s="987">
        <f t="shared" si="1"/>
        <v>176.65666666666667</v>
      </c>
      <c r="P15" s="987">
        <f t="shared" si="1"/>
        <v>781.73333333333346</v>
      </c>
      <c r="Q15" s="987">
        <f t="shared" ca="1" si="1"/>
        <v>213841.80334702035</v>
      </c>
    </row>
    <row r="17" spans="1:17">
      <c r="A17" s="487" t="s">
        <v>556</v>
      </c>
      <c r="B17" s="786">
        <f ca="1">huishoudens!B10</f>
        <v>0.20313770311457449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4133.0645069492912</v>
      </c>
      <c r="C22" s="477">
        <f t="shared" ref="C22:C32" ca="1" si="3">C4*$C$17</f>
        <v>0</v>
      </c>
      <c r="D22" s="477">
        <f t="shared" ref="D22:D32" si="4">D4*$D$17</f>
        <v>5900.2963075826001</v>
      </c>
      <c r="E22" s="477">
        <f t="shared" ref="E22:E32" si="5">E4*$E$17</f>
        <v>698.38839131544785</v>
      </c>
      <c r="F22" s="477">
        <f t="shared" ref="F22:F32" si="6">F4*$F$17</f>
        <v>8974.7648172092304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19706.514023056567</v>
      </c>
    </row>
    <row r="23" spans="1:17">
      <c r="A23" s="476" t="s">
        <v>156</v>
      </c>
      <c r="B23" s="477">
        <f t="shared" ca="1" si="2"/>
        <v>1482.2307854976734</v>
      </c>
      <c r="C23" s="477">
        <f t="shared" ca="1" si="3"/>
        <v>0</v>
      </c>
      <c r="D23" s="477">
        <f t="shared" ca="1" si="4"/>
        <v>1595.4356182600002</v>
      </c>
      <c r="E23" s="477">
        <f t="shared" si="5"/>
        <v>14.446168879795579</v>
      </c>
      <c r="F23" s="477">
        <f t="shared" ca="1" si="6"/>
        <v>332.50206119045123</v>
      </c>
      <c r="G23" s="477">
        <f t="shared" si="7"/>
        <v>0</v>
      </c>
      <c r="H23" s="477">
        <f t="shared" si="8"/>
        <v>0</v>
      </c>
      <c r="I23" s="477">
        <f t="shared" si="9"/>
        <v>0</v>
      </c>
      <c r="J23" s="477">
        <f t="shared" si="10"/>
        <v>8.3677002972855283E-3</v>
      </c>
      <c r="K23" s="477">
        <f t="shared" si="11"/>
        <v>0</v>
      </c>
      <c r="L23" s="477">
        <f t="shared" ca="1" si="12"/>
        <v>0</v>
      </c>
      <c r="M23" s="477">
        <f t="shared" si="13"/>
        <v>0</v>
      </c>
      <c r="N23" s="477">
        <f t="shared" ca="1" si="14"/>
        <v>0</v>
      </c>
      <c r="O23" s="477">
        <f t="shared" si="15"/>
        <v>0</v>
      </c>
      <c r="P23" s="478">
        <f t="shared" si="16"/>
        <v>0</v>
      </c>
      <c r="Q23" s="476">
        <f t="shared" ref="Q23:Q32" ca="1" si="17">SUM(B23:P23)</f>
        <v>3424.6230015282176</v>
      </c>
    </row>
    <row r="24" spans="1:17">
      <c r="A24" s="476" t="s">
        <v>194</v>
      </c>
      <c r="B24" s="477">
        <f t="shared" ca="1" si="2"/>
        <v>137.02105291795215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137.02105291795215</v>
      </c>
    </row>
    <row r="25" spans="1:17">
      <c r="A25" s="476" t="s">
        <v>112</v>
      </c>
      <c r="B25" s="477">
        <f t="shared" ca="1" si="2"/>
        <v>16.510626233746386</v>
      </c>
      <c r="C25" s="477">
        <f t="shared" ca="1" si="3"/>
        <v>0</v>
      </c>
      <c r="D25" s="477">
        <f t="shared" si="4"/>
        <v>26.229541227999999</v>
      </c>
      <c r="E25" s="477">
        <f t="shared" si="5"/>
        <v>0.54230496846808651</v>
      </c>
      <c r="F25" s="477">
        <f t="shared" si="6"/>
        <v>90.406134843297821</v>
      </c>
      <c r="G25" s="477">
        <f t="shared" si="7"/>
        <v>0</v>
      </c>
      <c r="H25" s="477">
        <f t="shared" si="8"/>
        <v>0</v>
      </c>
      <c r="I25" s="477">
        <f t="shared" si="9"/>
        <v>0</v>
      </c>
      <c r="J25" s="477">
        <f t="shared" si="10"/>
        <v>4.1685046041793301</v>
      </c>
      <c r="K25" s="477">
        <f t="shared" si="11"/>
        <v>0</v>
      </c>
      <c r="L25" s="477">
        <f t="shared" si="12"/>
        <v>0</v>
      </c>
      <c r="M25" s="477">
        <f t="shared" si="13"/>
        <v>0</v>
      </c>
      <c r="N25" s="477">
        <f t="shared" si="14"/>
        <v>0</v>
      </c>
      <c r="O25" s="477">
        <f t="shared" si="15"/>
        <v>0</v>
      </c>
      <c r="P25" s="478">
        <f t="shared" si="16"/>
        <v>0</v>
      </c>
      <c r="Q25" s="476">
        <f t="shared" ca="1" si="17"/>
        <v>137.85711187769161</v>
      </c>
    </row>
    <row r="26" spans="1:17">
      <c r="A26" s="476" t="s">
        <v>635</v>
      </c>
      <c r="B26" s="477">
        <f t="shared" ca="1" si="2"/>
        <v>142.34550662999962</v>
      </c>
      <c r="C26" s="477">
        <f t="shared" ca="1" si="3"/>
        <v>0</v>
      </c>
      <c r="D26" s="477">
        <f t="shared" si="4"/>
        <v>84.047972140000013</v>
      </c>
      <c r="E26" s="477">
        <f t="shared" si="5"/>
        <v>33.250633021238563</v>
      </c>
      <c r="F26" s="477">
        <f t="shared" si="6"/>
        <v>110.86557410541477</v>
      </c>
      <c r="G26" s="477">
        <f t="shared" si="7"/>
        <v>0</v>
      </c>
      <c r="H26" s="477">
        <f t="shared" si="8"/>
        <v>0</v>
      </c>
      <c r="I26" s="477">
        <f t="shared" si="9"/>
        <v>0</v>
      </c>
      <c r="J26" s="477">
        <f t="shared" si="10"/>
        <v>1.8041471689907194E-2</v>
      </c>
      <c r="K26" s="477">
        <f t="shared" si="11"/>
        <v>0</v>
      </c>
      <c r="L26" s="477">
        <f t="shared" si="12"/>
        <v>0</v>
      </c>
      <c r="M26" s="477">
        <f t="shared" si="13"/>
        <v>0</v>
      </c>
      <c r="N26" s="477">
        <f t="shared" si="14"/>
        <v>0</v>
      </c>
      <c r="O26" s="477">
        <f t="shared" si="15"/>
        <v>0</v>
      </c>
      <c r="P26" s="478">
        <f t="shared" si="16"/>
        <v>0</v>
      </c>
      <c r="Q26" s="476">
        <f t="shared" ca="1" si="17"/>
        <v>370.52772736834288</v>
      </c>
    </row>
    <row r="27" spans="1:17" s="482" customFormat="1">
      <c r="A27" s="480" t="s">
        <v>561</v>
      </c>
      <c r="B27" s="780">
        <f t="shared" ca="1" si="2"/>
        <v>8.2174652997314084</v>
      </c>
      <c r="C27" s="481">
        <f t="shared" ca="1" si="3"/>
        <v>0</v>
      </c>
      <c r="D27" s="481">
        <f t="shared" si="4"/>
        <v>30.593789080430781</v>
      </c>
      <c r="E27" s="481">
        <f t="shared" si="5"/>
        <v>49.220782604818538</v>
      </c>
      <c r="F27" s="481">
        <f t="shared" si="6"/>
        <v>0</v>
      </c>
      <c r="G27" s="481">
        <f t="shared" si="7"/>
        <v>19285.405434642074</v>
      </c>
      <c r="H27" s="481">
        <f t="shared" si="8"/>
        <v>4297.4575796084173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23670.895051235471</v>
      </c>
    </row>
    <row r="28" spans="1:17">
      <c r="A28" s="476" t="s">
        <v>551</v>
      </c>
      <c r="B28" s="477">
        <f t="shared" ca="1" si="2"/>
        <v>0</v>
      </c>
      <c r="C28" s="477">
        <f t="shared" ca="1" si="3"/>
        <v>0</v>
      </c>
      <c r="D28" s="477">
        <f t="shared" si="4"/>
        <v>0</v>
      </c>
      <c r="E28" s="477">
        <f t="shared" si="5"/>
        <v>0</v>
      </c>
      <c r="F28" s="477">
        <f t="shared" si="6"/>
        <v>0</v>
      </c>
      <c r="G28" s="477">
        <f t="shared" si="7"/>
        <v>271.06002253779457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271.06002253779457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151.84441738962886</v>
      </c>
      <c r="C32" s="477">
        <f t="shared" ca="1" si="3"/>
        <v>0</v>
      </c>
      <c r="D32" s="477">
        <f t="shared" si="4"/>
        <v>123.45998610000002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275.3044034896289</v>
      </c>
    </row>
    <row r="33" spans="1:17" s="486" customFormat="1">
      <c r="A33" s="1039" t="s">
        <v>555</v>
      </c>
      <c r="B33" s="987">
        <f ca="1">SUM(B22:B32)</f>
        <v>6071.2343609180225</v>
      </c>
      <c r="C33" s="987">
        <f t="shared" ref="C33:Q33" ca="1" si="18">SUM(C22:C32)</f>
        <v>0</v>
      </c>
      <c r="D33" s="987">
        <f t="shared" ca="1" si="18"/>
        <v>7760.0632143910307</v>
      </c>
      <c r="E33" s="987">
        <f t="shared" si="18"/>
        <v>795.84828078976852</v>
      </c>
      <c r="F33" s="987">
        <f t="shared" ca="1" si="18"/>
        <v>9508.5385873483938</v>
      </c>
      <c r="G33" s="987">
        <f t="shared" si="18"/>
        <v>19556.465457179867</v>
      </c>
      <c r="H33" s="987">
        <f t="shared" si="18"/>
        <v>4297.4575796084173</v>
      </c>
      <c r="I33" s="987">
        <f t="shared" si="18"/>
        <v>0</v>
      </c>
      <c r="J33" s="987">
        <f t="shared" si="18"/>
        <v>4.1949137761665227</v>
      </c>
      <c r="K33" s="987">
        <f t="shared" si="18"/>
        <v>0</v>
      </c>
      <c r="L33" s="987">
        <f t="shared" ca="1" si="18"/>
        <v>0</v>
      </c>
      <c r="M33" s="987">
        <f t="shared" si="18"/>
        <v>0</v>
      </c>
      <c r="N33" s="987">
        <f t="shared" ca="1" si="18"/>
        <v>0</v>
      </c>
      <c r="O33" s="987">
        <f t="shared" si="18"/>
        <v>0</v>
      </c>
      <c r="P33" s="987">
        <f t="shared" si="18"/>
        <v>0</v>
      </c>
      <c r="Q33" s="987">
        <f t="shared" ca="1" si="18"/>
        <v>47993.802394011662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2415.6359816213744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2415.6359816213744</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0.20313770311457449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0.20313770311457449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2019-08-12T08:32:56Z</dcterms:modified>
</cp:coreProperties>
</file>