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<sst xmlns="http://schemas.openxmlformats.org/spreadsheetml/2006/main" count="2383" uniqueCount="881">
  <si>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</si>
  <si>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</si>
  <si>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</si>
  <si>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</si>
  <si>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</si>
  <si>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</si>
  <si>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</si>
  <si>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</si>
  <si>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</si>
  <si>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</si>
  <si>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</si>
  <si>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</si>
  <si>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</si>
  <si>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</si>
  <si>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</si>
  <si>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</si>
  <si>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</si>
  <si>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</si>
  <si>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</si>
  <si>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</si>
  <si>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</si>
  <si>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</si>
  <si>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</si>
  <si>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</si>
  <si>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</si>
  <si>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</si>
  <si>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</si>
  <si>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</si>
  <si>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</si>
  <si>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</si>
  <si>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</si>
  <si>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</si>
  <si>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</si>
  <si>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</si>
  <si>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</si>
  <si>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</si>
  <si>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</si>
  <si>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</si>
  <si>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</si>
  <si>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</si>
  <si>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</si>
  <si>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</si>
  <si>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</si>
  <si>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</si>
  <si>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</si>
  <si>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</si>
  <si>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</si>
  <si>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</si>
  <si>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</si>
  <si>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</si>
  <si>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</si>
  <si>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</si>
  <si>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</si>
  <si>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</si>
  <si>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</si>
  <si>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</si>
  <si>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</si>
  <si>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</si>
  <si>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</si>
  <si>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</si>
  <si>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</si>
  <si>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</si>
  <si>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</si>
  <si>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</si>
  <si>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</si>
  <si>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</si>
  <si>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</si>
  <si>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</si>
  <si>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</si>
  <si>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</si>
  <si>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</si>
  <si>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</si>
  <si>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</si>
  <si>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</si>
  <si>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</si>
  <si>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</si>
  <si>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</si>
  <si>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</si>
  <si>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</si>
  <si>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</si>
  <si>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</si>
  <si>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</si>
  <si>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</si>
  <si>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</si>
  <si>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</si>
  <si>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</si>
  <si>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</si>
  <si>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</si>
  <si>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</si>
  <si>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</si>
  <si>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</si>
  <si>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</si>
  <si>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</si>
  <si>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</si>
  <si>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</si>
  <si>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</si>
  <si>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</si>
  <si>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</si>
  <si>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</si>
  <si>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</si>
  <si>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</si>
  <si>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</si>
  <si>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</si>
  <si>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</si>
  <si>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</si>
  <si>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</si>
  <si>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</si>
  <si>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</si>
  <si>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</si>
  <si>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</si>
  <si>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</si>
  <si>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</si>
  <si>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</si>
  <si>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</si>
  <si>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</si>
  <si>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</si>
  <si>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</si>
  <si>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</si>
  <si>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</si>
  <si>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</si>
  <si>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</si>
  <si>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</si>
  <si>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</si>
  <si>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</si>
  <si>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</si>
  <si>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</si>
  <si>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</si>
  <si>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</si>
  <si>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</si>
  <si>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</si>
  <si>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</si>
  <si>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</si>
  <si>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</si>
  <si>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</si>
  <si>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</si>
  <si>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</si>
  <si>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</si>
  <si>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</si>
  <si>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</si>
  <si>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</si>
  <si>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</si>
  <si>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</si>
  <si>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</si>
  <si>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</si>
  <si>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</si>
  <si>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</si>
  <si>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</si>
  <si>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</si>
  <si>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</si>
  <si>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</si>
  <si>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</si>
  <si>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</si>
  <si>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</si>
  <si>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</si>
  <si>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</si>
  <si>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</si>
  <si>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</si>
  <si>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</si>
  <si>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</si>
  <si>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</si>
  <si>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</si>
  <si>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</si>
  <si>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</si>
  <si>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</si>
  <si>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</si>
  <si>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</si>
  <si>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</si>
  <si>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</si>
  <si>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</si>
  <si>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</si>
  <si>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</si>
  <si>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</si>
  <si>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</si>
  <si>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</si>
  <si>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</si>
  <si>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</si>
  <si>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</si>
  <si>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</si>
  <si>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</si>
  <si>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</si>
  <si>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</si>
  <si>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</si>
  <si>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</si>
  <si>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</si>
  <si>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</si>
  <si>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</si>
  <si>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</si>
  <si>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</si>
  <si>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</si>
  <si>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</si>
  <si>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</si>
  <si>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</si>
  <si>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</si>
  <si>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</si>
  <si>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</si>
  <si>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</si>
  <si>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</si>
  <si>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</si>
  <si>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</si>
  <si>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</si>
  <si>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</si>
  <si>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</si>
  <si>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</si>
  <si>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</si>
  <si>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</si>
  <si>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</si>
  <si>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</si>
  <si>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</si>
  <si>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</si>
  <si>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</si>
  <si>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</si>
  <si>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</si>
  <si>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</si>
  <si>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</si>
  <si>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</si>
  <si>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</si>
  <si>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</si>
  <si>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</si>
  <si>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</si>
  <si>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</si>
  <si>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</si>
  <si>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</si>
  <si>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</si>
  <si>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</si>
  <si>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</si>
  <si>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</si>
  <si>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</si>
  <si>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</si>
  <si>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</si>
  <si>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</si>
  <si>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</si>
  <si>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</si>
  <si>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</si>
  <si>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</si>
  <si>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</si>
  <si>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</si>
  <si>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</si>
  <si>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</si>
  <si>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</si>
  <si>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</si>
  <si>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</si>
  <si>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</si>
  <si>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</si>
  <si>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</si>
  <si>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</si>
  <si>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</si>
  <si>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</si>
  <si>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</si>
  <si>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</si>
  <si>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</si>
  <si>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</si>
  <si>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</si>
  <si>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</si>
  <si>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</si>
  <si>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</si>
  <si>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</si>
  <si>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</si>
  <si>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</si>
  <si>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</si>
  <si>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</si>
  <si>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</si>
  <si>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</si>
  <si>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</si>
  <si>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</si>
  <si>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</si>
  <si>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</si>
  <si>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</si>
  <si>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</si>
  <si>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</si>
  <si>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</si>
  <si>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</si>
  <si>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</si>
  <si>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</si>
  <si>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</si>
  <si>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</si>
  <si>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</si>
  <si>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</si>
  <si>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</si>
  <si>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</si>
  <si>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</si>
  <si>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</si>
  <si>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</si>
  <si>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</si>
  <si>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</si>
  <si>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</si>
  <si>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</si>
  <si>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</si>
  <si>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</si>
  <si>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</si>
  <si>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</si>
  <si>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</si>
  <si>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</si>
  <si>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</si>
  <si>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</si>
  <si>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</si>
  <si>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</si>
  <si>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</si>
  <si>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</si>
  <si>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</si>
  <si>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</si>
  <si>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</si>
  <si>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</si>
  <si>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</si>
  <si>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</si>
  <si>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</si>
  <si>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</si>
  <si>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</si>
  <si>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</si>
  <si>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</si>
  <si>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</si>
  <si>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</si>
  <si>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</si>
  <si>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</si>
  <si>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</si>
  <si>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</si>
  <si>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</si>
  <si>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</si>
  <si>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</si>
  <si>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</si>
  <si>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</si>
  <si>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</si>
  <si>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</si>
  <si>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</si>
  <si>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</si>
  <si>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</si>
  <si>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</si>
  <si>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</si>
  <si>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</si>
  <si>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</si>
  <si>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</si>
  <si>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</si>
  <si>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</si>
  <si>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</si>
  <si>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</si>
  <si>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</si>
  <si>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</si>
  <si>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</si>
  <si>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</si>
  <si>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</si>
  <si>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</si>
  <si>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</si>
  <si>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</si>
  <si>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</si>
  <si>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</si>
  <si>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</si>
  <si>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</si>
  <si>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</si>
  <si>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</si>
  <si>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</si>
  <si>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</si>
  <si>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</si>
  <si>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</si>
  <si>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</si>
  <si>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</si>
  <si>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</si>
  <si>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</si>
  <si>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</si>
  <si>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</si>
  <si>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</si>
  <si>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</si>
  <si>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</si>
  <si>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</si>
  <si>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</si>
  <si>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</si>
  <si>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</si>
  <si>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</si>
  <si>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</si>
  <si>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</si>
  <si>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</si>
  <si>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</si>
  <si>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</si>
  <si>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</si>
  <si>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</si>
  <si>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</si>
  <si>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</si>
  <si>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</si>
  <si>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</si>
  <si>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</si>
  <si>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</si>
  <si>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</si>
  <si>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</si>
  <si>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</si>
  <si>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</si>
  <si>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</si>
  <si>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</si>
  <si>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</si>
  <si>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</si>
  <si>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</si>
  <si>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</si>
  <si>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</si>
  <si>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</si>
  <si>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</si>
  <si>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</si>
  <si>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</si>
  <si>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</si>
  <si>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</si>
  <si>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</si>
  <si>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</si>
  <si>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</si>
  <si>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</si>
  <si>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</si>
  <si>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</si>
  <si>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</si>
  <si>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</si>
  <si>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</si>
  <si>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</si>
  <si>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</si>
  <si>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</si>
  <si>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</si>
  <si>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</si>
  <si>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</si>
  <si>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</si>
  <si>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</si>
  <si>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</si>
  <si>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</si>
  <si>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</si>
  <si>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</si>
  <si>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</si>
  <si>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</si>
  <si>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</si>
  <si>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</si>
  <si>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</si>
  <si>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</si>
  <si>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</si>
  <si>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</si>
  <si>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</si>
  <si>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</si>
  <si>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</si>
  <si>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</si>
  <si>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</si>
  <si>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</si>
  <si>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</si>
  <si>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</si>
  <si>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</si>
  <si>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</si>
  <si>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</si>
  <si>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</si>
  <si>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</si>
  <si>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</si>
  <si>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</si>
  <si>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</si>
  <si>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</si>
  <si>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</si>
  <si>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</si>
  <si>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</si>
  <si>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</si>
  <si>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</si>
  <si>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</si>
  <si>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</si>
  <si>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</si>
  <si>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</si>
  <si>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</si>
  <si>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</si>
  <si>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</si>
  <si>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</si>
  <si>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</si>
  <si>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</si>
  <si>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</si>
  <si>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</si>
  <si>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</si>
  <si>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</si>
  <si>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</si>
  <si>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</si>
  <si>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</si>
  <si>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</si>
  <si>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</si>
  <si>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</si>
  <si>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</si>
  <si>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</si>
  <si>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</si>
  <si>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</si>
  <si>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</si>
  <si>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</si>
  <si>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</si>
  <si>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</si>
  <si>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</si>
  <si>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</si>
  <si>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</si>
  <si>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</si>
  <si>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</si>
  <si>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</si>
  <si>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</si>
  <si>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</si>
  <si>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</si>
  <si>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</si>
  <si>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</si>
  <si>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</si>
  <si>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</si>
  <si>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</si>
  <si>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</si>
  <si>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</si>
  <si>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</si>
  <si>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</si>
  <si>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</si>
  <si>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</si>
  <si>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</si>
  <si>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</si>
  <si>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</si>
  <si>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</si>
  <si>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</si>
  <si>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</si>
  <si>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</si>
  <si>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</si>
  <si>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</si>
  <si>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</si>
  <si>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</si>
  <si>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</si>
  <si>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</si>
  <si>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</si>
  <si>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</si>
  <si>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</si>
  <si>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</si>
  <si>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</si>
  <si>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</si>
  <si>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</si>
  <si>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</si>
  <si>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</si>
  <si>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</si>
  <si>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</si>
  <si>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</si>
  <si>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</si>
  <si>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</si>
  <si>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</si>
  <si>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</si>
  <si>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</si>
  <si>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</si>
  <si>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</si>
  <si>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</si>
  <si>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</si>
  <si>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</si>
  <si>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</si>
  <si>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</si>
  <si>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</si>
  <si>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</si>
  <si>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</si>
  <si>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</si>
  <si>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</si>
  <si>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</si>
  <si>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</si>
  <si>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</si>
  <si>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</si>
  <si>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</si>
  <si>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</si>
  <si>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</si>
  <si>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</si>
  <si>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</si>
  <si>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</si>
  <si>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</si>
  <si>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</si>
  <si>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</si>
  <si>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</si>
  <si>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</si>
  <si>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</si>
  <si>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</si>
  <si>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</si>
  <si>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</si>
  <si>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</si>
  <si>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</si>
  <si>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</si>
  <si>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</si>
  <si>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</si>
  <si>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</si>
  <si>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</si>
  <si>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</si>
  <si>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</si>
  <si>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</si>
  <si>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</si>
  <si>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</si>
  <si>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</si>
  <si>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</si>
  <si>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</si>
  <si>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</si>
  <si>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</si>
  <si>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</si>
  <si>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</si>
  <si>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</si>
  <si>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</si>
  <si>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</si>
  <si>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</si>
  <si>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</si>
  <si>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</si>
  <si>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</si>
  <si>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</si>
  <si>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</si>
  <si>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</si>
  <si>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</si>
  <si>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</si>
  <si>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</si>
  <si>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</si>
  <si>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</si>
  <si>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</si>
  <si>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</si>
  <si>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</si>
  <si>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</si>
  <si>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</si>
  <si>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</si>
  <si>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</si>
  <si>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</si>
  <si>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</si>
  <si>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</si>
  <si>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</si>
  <si>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</si>
  <si>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</si>
  <si>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</si>
  <si>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</si>
  <si>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</si>
  <si>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</si>
  <si>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</si>
  <si>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</si>
  <si>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</si>
  <si>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</si>
  <si>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</si>
  <si>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</si>
  <si>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</si>
  <si>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</si>
  <si>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</si>
  <si>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</si>
  <si>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</si>
  <si>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</si>
  <si>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</si>
  <si>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</si>
  <si>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</si>
  <si>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</si>
  <si>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</si>
  <si>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</si>
  <si>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</si>
  <si>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</si>
  <si>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</si>
  <si>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</si>
  <si>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</si>
  <si>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</si>
  <si>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</si>
  <si>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</si>
  <si>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</si>
  <si>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</si>
  <si>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</si>
  <si>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</si>
  <si>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</si>
  <si>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</si>
  <si>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</si>
  <si>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</si>
  <si>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</si>
  <si>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</si>
  <si>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</si>
  <si>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</si>
  <si>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</si>
  <si>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</si>
  <si>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</si>
  <si>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</si>
  <si>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</si>
  <si>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</si>
  <si>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</si>
  <si>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</si>
  <si>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</si>
  <si>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</si>
  <si>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</si>
  <si>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</si>
  <si>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</si>
  <si>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</si>
  <si>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</si>
  <si>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</si>
  <si>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</si>
  <si>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</si>
  <si>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</si>
  <si>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</si>
  <si>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</si>
  <si>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</si>
  <si>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</si>
  <si>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</si>
  <si>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</si>
  <si>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</si>
  <si>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</si>
  <si>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</si>
  <si>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</si>
  <si>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</si>
  <si>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</si>
  <si>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</si>
  <si>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</si>
  <si>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</si>
  <si>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</si>
  <si>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</si>
  <si>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</si>
  <si>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</si>
  <si>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</si>
  <si>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</si>
  <si>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</si>
  <si>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</si>
  <si>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</si>
  <si>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</si>
  <si>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</si>
  <si>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</si>
  <si>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</si>
  <si>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</si>
  <si>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</si>
  <si>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</si>
  <si>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</si>
  <si>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</si>
  <si>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</si>
  <si>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</si>
  <si>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</si>
  <si>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</si>
  <si>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</si>
  <si>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</si>
  <si>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</si>
  <si>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</si>
  <si>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</si>
  <si>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</si>
  <si>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</si>
  <si>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</si>
  <si>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</si>
  <si>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</si>
  <si>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</si>
  <si>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</si>
  <si>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</si>
  <si>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</si>
  <si>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</si>
  <si>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</si>
  <si>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</si>
  <si>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</si>
  <si>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</si>
  <si>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</si>
  <si>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</si>
  <si>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</si>
  <si>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</si>
  <si>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</si>
  <si>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</si>
  <si>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</si>
  <si>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</si>
  <si>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</si>
  <si>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</si>
  <si>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</si>
  <si>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</si>
  <si>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</si>
  <si>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</si>
  <si>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</si>
  <si>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</si>
  <si>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</si>
  <si>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</si>
  <si>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</si>
  <si>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</si>
  <si>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</si>
  <si>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</si>
  <si>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</si>
  <si>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</si>
  <si>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</si>
  <si>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</si>
  <si>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</si>
  <si>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</si>
  <si>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</si>
  <si>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</si>
  <si>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</si>
  <si>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</si>
  <si>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</si>
  <si>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</si>
  <si>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</si>
  <si>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</si>
  <si>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</si>
  <si>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</si>
  <si>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</si>
  <si>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</si>
  <si>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</si>
  <si>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</si>
  <si>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</si>
  <si>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</si>
  <si>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</si>
  <si>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</si>
  <si>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</si>
  <si>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</si>
  <si>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</si>
  <si>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</si>
  <si>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</si>
  <si>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</si>
  <si>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</si>
  <si>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</si>
  <si>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</si>
  <si>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</si>
  <si>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</si>
  <si>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</si>
  <si>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</si>
  <si>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</si>
  <si>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</si>
  <si>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</si>
  <si>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</si>
  <si>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</si>
  <si>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</si>
  <si>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</si>
  <si>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</si>
  <si>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</si>
  <si>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</si>
  <si>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</si>
  <si>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</si>
  <si>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</si>
  <si>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</si>
  <si>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</si>
  <si>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</si>
  <si>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</si>
  <si>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</si>
  <si>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</si>
  <si>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</si>
  <si>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</si>
  <si>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</si>
  <si>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</si>
  <si>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</si>
  <si>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</si>
  <si>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</si>
  <si>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</si>
  <si>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</si>
  <si>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</si>
  <si>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</si>
  <si>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</si>
  <si>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</si>
  <si>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</si>
  <si>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</si>
  <si>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</si>
  <si>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</si>
  <si>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</si>
  <si>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</si>
  <si>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</si>
  <si>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</si>
  <si>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</si>
  <si>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</si>
  <si>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</si>
  <si>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</si>
  <si>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</si>
  <si>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</si>
  <si>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</si>
  <si>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</si>
  <si>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</si>
  <si>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</si>
  <si>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</si>
  <si>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</si>
  <si>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</si>
  <si>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</si>
  <si>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</si>
  <si>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</si>
  <si>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</si>
  <si>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</si>
  <si>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</si>
  <si>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</si>
  <si>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</si>
  <si>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</si>
  <si>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</si>
  <si>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</si>
  <si>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</si>
  <si>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</si>
  <si>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</si>
  <si>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</si>
  <si>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</si>
  <si>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</si>
  <si>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</si>
  <si>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</si>
  <si>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</si>
  <si>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</si>
  <si>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</si>
  <si>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</si>
  <si>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</si>
  <si>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</si>
  <si>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</si>
  <si>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</si>
  <si>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</si>
  <si>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</si>
  <si>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</si>
  <si>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</si>
  <si>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</si>
  <si>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</si>
  <si>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</si>
  <si>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</si>
  <si>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</si>
  <si>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</si>
  <si>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</si>
  <si>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</si>
  <si>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</si>
  <si>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</si>
  <si>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24043</t>
  </si>
  <si>
    <t>HOLSBEEK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</si>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</sst>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90893.663311274533</c:v>
                </c:pt>
                <c:pt idx="1">
                  <c:v>12863.574253191207</c:v>
                </c:pt>
                <c:pt idx="2">
                  <c:v>621.76</c:v>
                </c:pt>
                <c:pt idx="3">
                  <c:v>2511.6670528484879</c:v>
                </c:pt>
                <c:pt idx="4">
                  <c:v>2724.2095360379167</c:v>
                </c:pt>
                <c:pt idx="5">
                  <c:v>115294.42296758834</c:v>
                </c:pt>
                <c:pt idx="6">
                  <c:v>1218.8260695343417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90893.663311274533</c:v>
                </c:pt>
                <c:pt idx="1">
                  <c:v>12863.574253191207</c:v>
                </c:pt>
                <c:pt idx="2">
                  <c:v>621.76</c:v>
                </c:pt>
                <c:pt idx="3">
                  <c:v>2511.6670528484879</c:v>
                </c:pt>
                <c:pt idx="4">
                  <c:v>2724.2095360379167</c:v>
                </c:pt>
                <c:pt idx="5">
                  <c:v>115294.42296758834</c:v>
                </c:pt>
                <c:pt idx="6">
                  <c:v>1218.8260695343417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17784.080298078414</c:v>
                </c:pt>
                <c:pt idx="2">
                  <c:v>2346.731218438777</c:v>
                </c:pt>
                <c:pt idx="3">
                  <c:v>120.82463223279704</c:v>
                </c:pt>
                <c:pt idx="4">
                  <c:v>639.3318996884974</c:v>
                </c:pt>
                <c:pt idx="5">
                  <c:v>534.38934271315213</c:v>
                </c:pt>
                <c:pt idx="6">
                  <c:v>28852.234737215414</c:v>
                </c:pt>
                <c:pt idx="7">
                  <c:v>307.93709308997762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17784.080298078414</c:v>
                </c:pt>
                <c:pt idx="2">
                  <c:v>2346.731218438777</c:v>
                </c:pt>
                <c:pt idx="3">
                  <c:v>120.82463223279704</c:v>
                </c:pt>
                <c:pt idx="4">
                  <c:v>639.3318996884974</c:v>
                </c:pt>
                <c:pt idx="5">
                  <c:v>534.38934271315213</c:v>
                </c:pt>
                <c:pt idx="6">
                  <c:v>28852.234737215414</c:v>
                </c:pt>
                <c:pt idx="7">
                  <c:v>307.93709308997762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24043</v>
      </c>
      <c r="B6" s="415"/>
      <c r="C6" s="416"/>
    </row>
    <row r="7" spans="1:7" s="413" customFormat="1" ht="15.75" customHeight="1">
      <c r="A7" s="417" t="str">
        <f>txtMunicipality</f>
        <v>HOLSBEEK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6457.6005229999992</v>
      </c>
      <c r="D10" s="1013">
        <f ca="1">tertiair!C16</f>
        <v>0</v>
      </c>
      <c r="E10" s="1013">
        <f ca="1">tertiair!D16</f>
        <v>4452.2524266</v>
      </c>
      <c r="F10" s="1013">
        <f>tertiair!E16</f>
        <v>68.437561173647296</v>
      </c>
      <c r="G10" s="1013">
        <f ca="1">tertiair!F16</f>
        <v>1115.2373717475091</v>
      </c>
      <c r="H10" s="1013">
        <f>tertiair!G16</f>
        <v>0</v>
      </c>
      <c r="I10" s="1013">
        <f>tertiair!H16</f>
        <v>0</v>
      </c>
      <c r="J10" s="1013">
        <f>tertiair!I16</f>
        <v>0</v>
      </c>
      <c r="K10" s="1013">
        <f>tertiair!J16</f>
        <v>3.47443035889093E-2</v>
      </c>
      <c r="L10" s="1013">
        <f>tertiair!K16</f>
        <v>0</v>
      </c>
      <c r="M10" s="1013">
        <f ca="1">tertiair!L16</f>
        <v>0</v>
      </c>
      <c r="N10" s="1013">
        <f>tertiair!M16</f>
        <v>0</v>
      </c>
      <c r="O10" s="1013">
        <f ca="1">tertiair!N16</f>
        <v>1372.704959699797</v>
      </c>
      <c r="P10" s="1013">
        <f>tertiair!O16</f>
        <v>0</v>
      </c>
      <c r="Q10" s="1014">
        <f>tertiair!P16</f>
        <v>19.066666666666666</v>
      </c>
      <c r="R10" s="700">
        <f ca="1">SUM(C10:Q10)</f>
        <v>13485.334253191208</v>
      </c>
      <c r="S10" s="67"/>
    </row>
    <row r="11" spans="1:19" s="473" customFormat="1">
      <c r="A11" s="809" t="s">
        <v>225</v>
      </c>
      <c r="B11" s="814"/>
      <c r="C11" s="1013">
        <f>huishoudens!B8</f>
        <v>17585.901215439342</v>
      </c>
      <c r="D11" s="1013">
        <f>huishoudens!C8</f>
        <v>0</v>
      </c>
      <c r="E11" s="1013">
        <f>huishoudens!D8</f>
        <v>21628.471068600003</v>
      </c>
      <c r="F11" s="1013">
        <f>huishoudens!E8</f>
        <v>4606.8835063549413</v>
      </c>
      <c r="G11" s="1013">
        <f>huishoudens!F8</f>
        <v>33527.920029398541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12249.4574914817</v>
      </c>
      <c r="P11" s="1013">
        <f>huishoudens!O8</f>
        <v>189.16333333333336</v>
      </c>
      <c r="Q11" s="1014">
        <f>huishoudens!P8</f>
        <v>1105.8666666666668</v>
      </c>
      <c r="R11" s="700">
        <f>SUM(C11:Q11)</f>
        <v>90893.663311274533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1149.83475</v>
      </c>
      <c r="D13" s="1013">
        <f>industrie!C18</f>
        <v>0</v>
      </c>
      <c r="E13" s="1013">
        <f>industrie!D18</f>
        <v>552.13512639999999</v>
      </c>
      <c r="F13" s="1013">
        <f>industrie!E18</f>
        <v>199.13907873145249</v>
      </c>
      <c r="G13" s="1013">
        <f>industrie!F18</f>
        <v>577.43372361201807</v>
      </c>
      <c r="H13" s="1013">
        <f>industrie!G18</f>
        <v>0</v>
      </c>
      <c r="I13" s="1013">
        <f>industrie!H18</f>
        <v>0</v>
      </c>
      <c r="J13" s="1013">
        <f>industrie!I18</f>
        <v>0</v>
      </c>
      <c r="K13" s="1013">
        <f>industrie!J18</f>
        <v>9.8764515396861208E-2</v>
      </c>
      <c r="L13" s="1013">
        <f>industrie!K18</f>
        <v>0</v>
      </c>
      <c r="M13" s="1013">
        <f>industrie!L18</f>
        <v>0</v>
      </c>
      <c r="N13" s="1013">
        <f>industrie!M18</f>
        <v>0</v>
      </c>
      <c r="O13" s="1013">
        <f>industrie!N18</f>
        <v>245.56809277904941</v>
      </c>
      <c r="P13" s="1013">
        <f>industrie!O18</f>
        <v>0</v>
      </c>
      <c r="Q13" s="1014">
        <f>industrie!P18</f>
        <v>0</v>
      </c>
      <c r="R13" s="700">
        <f>SUM(C13:Q13)</f>
        <v>2724.2095360379167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25193.336488439345</v>
      </c>
      <c r="D16" s="732">
        <f t="shared" ref="D16:R16" ca="1" si="0">SUM(D9:D15)</f>
        <v>0</v>
      </c>
      <c r="E16" s="732">
        <f t="shared" ca="1" si="0"/>
        <v>26632.858621600004</v>
      </c>
      <c r="F16" s="732">
        <f t="shared" si="0"/>
        <v>4874.4601462600413</v>
      </c>
      <c r="G16" s="732">
        <f t="shared" ca="1" si="0"/>
        <v>35220.591124758066</v>
      </c>
      <c r="H16" s="732">
        <f t="shared" si="0"/>
        <v>0</v>
      </c>
      <c r="I16" s="732">
        <f t="shared" si="0"/>
        <v>0</v>
      </c>
      <c r="J16" s="732">
        <f t="shared" si="0"/>
        <v>0</v>
      </c>
      <c r="K16" s="732">
        <f t="shared" si="0"/>
        <v>0.13350881898577049</v>
      </c>
      <c r="L16" s="732">
        <f t="shared" si="0"/>
        <v>0</v>
      </c>
      <c r="M16" s="732">
        <f t="shared" ca="1" si="0"/>
        <v>0</v>
      </c>
      <c r="N16" s="732">
        <f t="shared" si="0"/>
        <v>0</v>
      </c>
      <c r="O16" s="732">
        <f t="shared" ca="1" si="0"/>
        <v>13867.730543960546</v>
      </c>
      <c r="P16" s="732">
        <f t="shared" si="0"/>
        <v>189.16333333333336</v>
      </c>
      <c r="Q16" s="732">
        <f t="shared" si="0"/>
        <v>1124.9333333333334</v>
      </c>
      <c r="R16" s="732">
        <f t="shared" ca="1" si="0"/>
        <v>107103.20710050366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1153.3224460298786</v>
      </c>
      <c r="I19" s="1013">
        <f>transport!H54</f>
        <v>0</v>
      </c>
      <c r="J19" s="1013">
        <f>transport!I54</f>
        <v>0</v>
      </c>
      <c r="K19" s="1013">
        <f>transport!J54</f>
        <v>0</v>
      </c>
      <c r="L19" s="1013">
        <f>transport!K54</f>
        <v>0</v>
      </c>
      <c r="M19" s="1013">
        <f>transport!L54</f>
        <v>0</v>
      </c>
      <c r="N19" s="1013">
        <f>transport!M54</f>
        <v>65.503623504463064</v>
      </c>
      <c r="O19" s="1013">
        <f>transport!N54</f>
        <v>0</v>
      </c>
      <c r="P19" s="1013">
        <f>transport!O54</f>
        <v>0</v>
      </c>
      <c r="Q19" s="1014">
        <f>transport!P54</f>
        <v>0</v>
      </c>
      <c r="R19" s="700">
        <f>SUM(C19:Q19)</f>
        <v>1218.8260695343417</v>
      </c>
      <c r="S19" s="67"/>
    </row>
    <row r="20" spans="1:19" s="473" customFormat="1">
      <c r="A20" s="809" t="s">
        <v>307</v>
      </c>
      <c r="B20" s="814"/>
      <c r="C20" s="1013">
        <f>transport!B14</f>
        <v>48.044585800948674</v>
      </c>
      <c r="D20" s="1013">
        <f>transport!C14</f>
        <v>0</v>
      </c>
      <c r="E20" s="1013">
        <f>transport!D14</f>
        <v>173.29306912231834</v>
      </c>
      <c r="F20" s="1013">
        <f>transport!E14</f>
        <v>263.18576005989888</v>
      </c>
      <c r="G20" s="1013">
        <f>transport!F14</f>
        <v>0</v>
      </c>
      <c r="H20" s="1013">
        <f>transport!G14</f>
        <v>89027.591866985458</v>
      </c>
      <c r="I20" s="1013">
        <f>transport!H14</f>
        <v>19991.096347532886</v>
      </c>
      <c r="J20" s="1013">
        <f>transport!I14</f>
        <v>0</v>
      </c>
      <c r="K20" s="1013">
        <f>transport!J14</f>
        <v>0</v>
      </c>
      <c r="L20" s="1013">
        <f>transport!K14</f>
        <v>0</v>
      </c>
      <c r="M20" s="1013">
        <f>transport!L14</f>
        <v>0</v>
      </c>
      <c r="N20" s="1013">
        <f>transport!M14</f>
        <v>5791.2113380868295</v>
      </c>
      <c r="O20" s="1013">
        <f>transport!N14</f>
        <v>0</v>
      </c>
      <c r="P20" s="1013">
        <f>transport!O14</f>
        <v>0</v>
      </c>
      <c r="Q20" s="1014">
        <f>transport!P14</f>
        <v>0</v>
      </c>
      <c r="R20" s="700">
        <f>SUM(C20:Q20)</f>
        <v>115294.42296758834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48.044585800948674</v>
      </c>
      <c r="D22" s="812">
        <f t="shared" ref="D22:R22" si="1">SUM(D18:D21)</f>
        <v>0</v>
      </c>
      <c r="E22" s="812">
        <f t="shared" si="1"/>
        <v>173.29306912231834</v>
      </c>
      <c r="F22" s="812">
        <f t="shared" si="1"/>
        <v>263.18576005989888</v>
      </c>
      <c r="G22" s="812">
        <f t="shared" si="1"/>
        <v>0</v>
      </c>
      <c r="H22" s="812">
        <f t="shared" si="1"/>
        <v>90180.914313015339</v>
      </c>
      <c r="I22" s="812">
        <f t="shared" si="1"/>
        <v>19991.096347532886</v>
      </c>
      <c r="J22" s="812">
        <f t="shared" si="1"/>
        <v>0</v>
      </c>
      <c r="K22" s="812">
        <f t="shared" si="1"/>
        <v>0</v>
      </c>
      <c r="L22" s="812">
        <f t="shared" si="1"/>
        <v>0</v>
      </c>
      <c r="M22" s="812">
        <f t="shared" si="1"/>
        <v>0</v>
      </c>
      <c r="N22" s="812">
        <f t="shared" si="1"/>
        <v>5856.7149615912922</v>
      </c>
      <c r="O22" s="812">
        <f t="shared" si="1"/>
        <v>0</v>
      </c>
      <c r="P22" s="812">
        <f t="shared" si="1"/>
        <v>0</v>
      </c>
      <c r="Q22" s="812">
        <f t="shared" si="1"/>
        <v>0</v>
      </c>
      <c r="R22" s="812">
        <f t="shared" si="1"/>
        <v>116513.24903712269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461.66199999999998</v>
      </c>
      <c r="D24" s="1013">
        <f>+landbouw!C8</f>
        <v>0</v>
      </c>
      <c r="E24" s="1013">
        <f>+landbouw!D8</f>
        <v>46.291542</v>
      </c>
      <c r="F24" s="1013">
        <f>+landbouw!E8</f>
        <v>13.569656258501375</v>
      </c>
      <c r="G24" s="1013">
        <f>+landbouw!F8</f>
        <v>1923.2589450949247</v>
      </c>
      <c r="H24" s="1013">
        <f>+landbouw!G8</f>
        <v>0</v>
      </c>
      <c r="I24" s="1013">
        <f>+landbouw!H8</f>
        <v>0</v>
      </c>
      <c r="J24" s="1013">
        <f>+landbouw!I8</f>
        <v>0</v>
      </c>
      <c r="K24" s="1013">
        <f>+landbouw!J8</f>
        <v>66.884909495062061</v>
      </c>
      <c r="L24" s="1013">
        <f>+landbouw!K8</f>
        <v>0</v>
      </c>
      <c r="M24" s="1013">
        <f>+landbouw!L8</f>
        <v>0</v>
      </c>
      <c r="N24" s="1013">
        <f>+landbouw!M8</f>
        <v>0</v>
      </c>
      <c r="O24" s="1013">
        <f>+landbouw!N8</f>
        <v>0</v>
      </c>
      <c r="P24" s="1013">
        <f>+landbouw!O8</f>
        <v>0</v>
      </c>
      <c r="Q24" s="1014">
        <f>+landbouw!P8</f>
        <v>0</v>
      </c>
      <c r="R24" s="700">
        <f>SUM(C24:Q24)</f>
        <v>2511.6670528484879</v>
      </c>
      <c r="S24" s="67"/>
    </row>
    <row r="25" spans="1:19" s="473" customFormat="1" ht="15" thickBot="1">
      <c r="A25" s="831" t="s">
        <v>836</v>
      </c>
      <c r="B25" s="1016"/>
      <c r="C25" s="1017">
        <f>IF(Onbekend_ele_kWh="---",0,Onbekend_ele_kWh)/1000+IF(REST_rest_ele_kWh="---",0,REST_rest_ele_kWh)/1000</f>
        <v>417.35679999999996</v>
      </c>
      <c r="D25" s="1017"/>
      <c r="E25" s="1017">
        <f>IF(onbekend_gas_kWh="---",0,onbekend_gas_kWh)/1000+IF(REST_rest_gas_kWh="---",0,REST_rest_gas_kWh)/1000</f>
        <v>1401.7819</v>
      </c>
      <c r="F25" s="1017"/>
      <c r="G25" s="1017"/>
      <c r="H25" s="1017"/>
      <c r="I25" s="1017"/>
      <c r="J25" s="1017"/>
      <c r="K25" s="1017"/>
      <c r="L25" s="1017"/>
      <c r="M25" s="1017"/>
      <c r="N25" s="1017"/>
      <c r="O25" s="1017"/>
      <c r="P25" s="1017"/>
      <c r="Q25" s="1018"/>
      <c r="R25" s="700">
        <f>SUM(C25:Q25)</f>
        <v>1819.1387</v>
      </c>
      <c r="S25" s="67"/>
    </row>
    <row r="26" spans="1:19" s="473" customFormat="1" ht="15.75" thickBot="1">
      <c r="A26" s="705" t="s">
        <v>837</v>
      </c>
      <c r="B26" s="817"/>
      <c r="C26" s="812">
        <f>SUM(C24:C25)</f>
        <v>879.01879999999994</v>
      </c>
      <c r="D26" s="812">
        <f t="shared" ref="D26:R26" si="2">SUM(D24:D25)</f>
        <v>0</v>
      </c>
      <c r="E26" s="812">
        <f t="shared" si="2"/>
        <v>1448.0734419999999</v>
      </c>
      <c r="F26" s="812">
        <f t="shared" si="2"/>
        <v>13.569656258501375</v>
      </c>
      <c r="G26" s="812">
        <f t="shared" si="2"/>
        <v>1923.2589450949247</v>
      </c>
      <c r="H26" s="812">
        <f t="shared" si="2"/>
        <v>0</v>
      </c>
      <c r="I26" s="812">
        <f t="shared" si="2"/>
        <v>0</v>
      </c>
      <c r="J26" s="812">
        <f t="shared" si="2"/>
        <v>0</v>
      </c>
      <c r="K26" s="812">
        <f t="shared" si="2"/>
        <v>66.884909495062061</v>
      </c>
      <c r="L26" s="812">
        <f t="shared" si="2"/>
        <v>0</v>
      </c>
      <c r="M26" s="812">
        <f t="shared" si="2"/>
        <v>0</v>
      </c>
      <c r="N26" s="812">
        <f t="shared" si="2"/>
        <v>0</v>
      </c>
      <c r="O26" s="812">
        <f t="shared" si="2"/>
        <v>0</v>
      </c>
      <c r="P26" s="812">
        <f t="shared" si="2"/>
        <v>0</v>
      </c>
      <c r="Q26" s="812">
        <f t="shared" si="2"/>
        <v>0</v>
      </c>
      <c r="R26" s="812">
        <f t="shared" si="2"/>
        <v>4330.8057528484878</v>
      </c>
      <c r="S26" s="67"/>
    </row>
    <row r="27" spans="1:19" s="473" customFormat="1" ht="17.25" thickTop="1" thickBot="1">
      <c r="A27" s="706" t="s">
        <v>116</v>
      </c>
      <c r="B27" s="805"/>
      <c r="C27" s="707">
        <f ca="1">C22+C16+C26</f>
        <v>26120.399874240295</v>
      </c>
      <c r="D27" s="707">
        <f t="shared" ref="D27:R27" ca="1" si="3">D22+D16+D26</f>
        <v>0</v>
      </c>
      <c r="E27" s="707">
        <f t="shared" ca="1" si="3"/>
        <v>28254.225132722324</v>
      </c>
      <c r="F27" s="707">
        <f t="shared" si="3"/>
        <v>5151.2155625784417</v>
      </c>
      <c r="G27" s="707">
        <f t="shared" ca="1" si="3"/>
        <v>37143.85006985299</v>
      </c>
      <c r="H27" s="707">
        <f t="shared" si="3"/>
        <v>90180.914313015339</v>
      </c>
      <c r="I27" s="707">
        <f t="shared" si="3"/>
        <v>19991.096347532886</v>
      </c>
      <c r="J27" s="707">
        <f t="shared" si="3"/>
        <v>0</v>
      </c>
      <c r="K27" s="707">
        <f t="shared" si="3"/>
        <v>67.018418314047835</v>
      </c>
      <c r="L27" s="707">
        <f t="shared" si="3"/>
        <v>0</v>
      </c>
      <c r="M27" s="707">
        <f t="shared" ca="1" si="3"/>
        <v>0</v>
      </c>
      <c r="N27" s="707">
        <f t="shared" si="3"/>
        <v>5856.7149615912922</v>
      </c>
      <c r="O27" s="707">
        <f t="shared" ca="1" si="3"/>
        <v>13867.730543960546</v>
      </c>
      <c r="P27" s="707">
        <f t="shared" si="3"/>
        <v>189.16333333333336</v>
      </c>
      <c r="Q27" s="707">
        <f t="shared" si="3"/>
        <v>1124.9333333333334</v>
      </c>
      <c r="R27" s="707">
        <f t="shared" ca="1" si="3"/>
        <v>227947.26189047482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1254.8848563719002</v>
      </c>
      <c r="D40" s="1013">
        <f ca="1">tertiair!C20</f>
        <v>0</v>
      </c>
      <c r="E40" s="1013">
        <f ca="1">tertiair!D20</f>
        <v>899.35499017320001</v>
      </c>
      <c r="F40" s="1013">
        <f>tertiair!E20</f>
        <v>15.535326386417937</v>
      </c>
      <c r="G40" s="1013">
        <f ca="1">tertiair!F20</f>
        <v>297.76837825658492</v>
      </c>
      <c r="H40" s="1013">
        <f>tertiair!G20</f>
        <v>0</v>
      </c>
      <c r="I40" s="1013">
        <f>tertiair!H20</f>
        <v>0</v>
      </c>
      <c r="J40" s="1013">
        <f>tertiair!I20</f>
        <v>0</v>
      </c>
      <c r="K40" s="1013">
        <f>tertiair!J20</f>
        <v>1.2299483470473892E-2</v>
      </c>
      <c r="L40" s="1013">
        <f>tertiair!K20</f>
        <v>0</v>
      </c>
      <c r="M40" s="1013">
        <f ca="1">tertiair!L20</f>
        <v>0</v>
      </c>
      <c r="N40" s="1013">
        <f>tertiair!M20</f>
        <v>0</v>
      </c>
      <c r="O40" s="1013">
        <f ca="1">tertiair!N20</f>
        <v>0</v>
      </c>
      <c r="P40" s="1013">
        <f>tertiair!O20</f>
        <v>0</v>
      </c>
      <c r="Q40" s="774">
        <f>tertiair!P20</f>
        <v>0</v>
      </c>
      <c r="R40" s="850">
        <f t="shared" ca="1" si="4"/>
        <v>2467.5558506715738</v>
      </c>
    </row>
    <row r="41" spans="1:18">
      <c r="A41" s="822" t="s">
        <v>225</v>
      </c>
      <c r="B41" s="829"/>
      <c r="C41" s="1013">
        <f ca="1">huishoudens!B12</f>
        <v>3417.4119384292285</v>
      </c>
      <c r="D41" s="1013">
        <f ca="1">huishoudens!C12</f>
        <v>0</v>
      </c>
      <c r="E41" s="1013">
        <f>huishoudens!D12</f>
        <v>4368.9511558572012</v>
      </c>
      <c r="F41" s="1013">
        <f>huishoudens!E12</f>
        <v>1045.7625559425717</v>
      </c>
      <c r="G41" s="1013">
        <f>huishoudens!F12</f>
        <v>8951.9546478494103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17784.080298078414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223.44370946545311</v>
      </c>
      <c r="D43" s="1013">
        <f ca="1">industrie!C22</f>
        <v>0</v>
      </c>
      <c r="E43" s="1013">
        <f>industrie!D22</f>
        <v>111.5312955328</v>
      </c>
      <c r="F43" s="1013">
        <f>industrie!E22</f>
        <v>45.204570872039717</v>
      </c>
      <c r="G43" s="1013">
        <f>industrie!F22</f>
        <v>154.17480420440884</v>
      </c>
      <c r="H43" s="1013">
        <f>industrie!G22</f>
        <v>0</v>
      </c>
      <c r="I43" s="1013">
        <f>industrie!H22</f>
        <v>0</v>
      </c>
      <c r="J43" s="1013">
        <f>industrie!I22</f>
        <v>0</v>
      </c>
      <c r="K43" s="1013">
        <f>industrie!J22</f>
        <v>3.4962638450488866E-2</v>
      </c>
      <c r="L43" s="1013">
        <f>industrie!K22</f>
        <v>0</v>
      </c>
      <c r="M43" s="1013">
        <f>industrie!L22</f>
        <v>0</v>
      </c>
      <c r="N43" s="1013">
        <f>industrie!M22</f>
        <v>0</v>
      </c>
      <c r="O43" s="1013">
        <f>industrie!N22</f>
        <v>0</v>
      </c>
      <c r="P43" s="1013">
        <f>industrie!O22</f>
        <v>0</v>
      </c>
      <c r="Q43" s="774">
        <f>industrie!P22</f>
        <v>0</v>
      </c>
      <c r="R43" s="849">
        <f t="shared" ca="1" si="4"/>
        <v>534.38934271315213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4895.7405042665814</v>
      </c>
      <c r="D46" s="732">
        <f t="shared" ref="D46:Q46" ca="1" si="5">SUM(D39:D45)</f>
        <v>0</v>
      </c>
      <c r="E46" s="732">
        <f t="shared" ca="1" si="5"/>
        <v>5379.8374415632015</v>
      </c>
      <c r="F46" s="732">
        <f t="shared" si="5"/>
        <v>1106.5024532010293</v>
      </c>
      <c r="G46" s="732">
        <f t="shared" ca="1" si="5"/>
        <v>9403.897830310405</v>
      </c>
      <c r="H46" s="732">
        <f t="shared" si="5"/>
        <v>0</v>
      </c>
      <c r="I46" s="732">
        <f t="shared" si="5"/>
        <v>0</v>
      </c>
      <c r="J46" s="732">
        <f t="shared" si="5"/>
        <v>0</v>
      </c>
      <c r="K46" s="732">
        <f t="shared" si="5"/>
        <v>4.7262121920962755E-2</v>
      </c>
      <c r="L46" s="732">
        <f t="shared" si="5"/>
        <v>0</v>
      </c>
      <c r="M46" s="732">
        <f t="shared" ca="1" si="5"/>
        <v>0</v>
      </c>
      <c r="N46" s="732">
        <f t="shared" si="5"/>
        <v>0</v>
      </c>
      <c r="O46" s="732">
        <f t="shared" ca="1" si="5"/>
        <v>0</v>
      </c>
      <c r="P46" s="732">
        <f t="shared" si="5"/>
        <v>0</v>
      </c>
      <c r="Q46" s="732">
        <f t="shared" si="5"/>
        <v>0</v>
      </c>
      <c r="R46" s="732">
        <f ca="1">SUM(R39:R45)</f>
        <v>20786.02549146314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307.93709308997762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307.93709308997762</v>
      </c>
    </row>
    <row r="50" spans="1:18">
      <c r="A50" s="825" t="s">
        <v>307</v>
      </c>
      <c r="B50" s="835"/>
      <c r="C50" s="703">
        <f ca="1">transport!B18</f>
        <v>9.3363506983026987</v>
      </c>
      <c r="D50" s="703">
        <f>transport!C18</f>
        <v>0</v>
      </c>
      <c r="E50" s="703">
        <f>transport!D18</f>
        <v>35.005199962708311</v>
      </c>
      <c r="F50" s="703">
        <f>transport!E18</f>
        <v>59.743167533597045</v>
      </c>
      <c r="G50" s="703">
        <f>transport!F18</f>
        <v>0</v>
      </c>
      <c r="H50" s="703">
        <f>transport!G18</f>
        <v>23770.367028485118</v>
      </c>
      <c r="I50" s="703">
        <f>transport!H18</f>
        <v>4977.7829905356884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28852.234737215414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9.3363506983026987</v>
      </c>
      <c r="D52" s="732">
        <f t="shared" ref="D52:Q52" ca="1" si="6">SUM(D48:D51)</f>
        <v>0</v>
      </c>
      <c r="E52" s="732">
        <f t="shared" si="6"/>
        <v>35.005199962708311</v>
      </c>
      <c r="F52" s="732">
        <f t="shared" si="6"/>
        <v>59.743167533597045</v>
      </c>
      <c r="G52" s="732">
        <f t="shared" si="6"/>
        <v>0</v>
      </c>
      <c r="H52" s="732">
        <f t="shared" si="6"/>
        <v>24078.304121575096</v>
      </c>
      <c r="I52" s="732">
        <f t="shared" si="6"/>
        <v>4977.7829905356884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29160.171830305393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89.713299932220707</v>
      </c>
      <c r="D54" s="703">
        <f ca="1">+landbouw!C12</f>
        <v>0</v>
      </c>
      <c r="E54" s="703">
        <f>+landbouw!D12</f>
        <v>9.3508914839999999</v>
      </c>
      <c r="F54" s="703">
        <f>+landbouw!E12</f>
        <v>3.0803119706798121</v>
      </c>
      <c r="G54" s="703">
        <f>+landbouw!F12</f>
        <v>513.51013834034495</v>
      </c>
      <c r="H54" s="703">
        <f>+landbouw!G12</f>
        <v>0</v>
      </c>
      <c r="I54" s="703">
        <f>+landbouw!H12</f>
        <v>0</v>
      </c>
      <c r="J54" s="703">
        <f>+landbouw!I12</f>
        <v>0</v>
      </c>
      <c r="K54" s="703">
        <f>+landbouw!J12</f>
        <v>23.677257961251968</v>
      </c>
      <c r="L54" s="703">
        <f>+landbouw!K12</f>
        <v>0</v>
      </c>
      <c r="M54" s="703">
        <f>+landbouw!L12</f>
        <v>0</v>
      </c>
      <c r="N54" s="703">
        <f>+landbouw!M12</f>
        <v>0</v>
      </c>
      <c r="O54" s="703">
        <f>+landbouw!N12</f>
        <v>0</v>
      </c>
      <c r="P54" s="703">
        <f>+landbouw!O12</f>
        <v>0</v>
      </c>
      <c r="Q54" s="704">
        <f>+landbouw!P12</f>
        <v>0</v>
      </c>
      <c r="R54" s="731">
        <f ca="1">SUM(C54:Q54)</f>
        <v>639.3318996884974</v>
      </c>
    </row>
    <row r="55" spans="1:18" ht="15" thickBot="1">
      <c r="A55" s="825" t="s">
        <v>836</v>
      </c>
      <c r="B55" s="835"/>
      <c r="C55" s="703">
        <f ca="1">C25*'EF ele_warmte'!B12</f>
        <v>81.103612116985701</v>
      </c>
      <c r="D55" s="703"/>
      <c r="E55" s="703">
        <f>E25*EF_CO2_aardgas</f>
        <v>283.15994380000001</v>
      </c>
      <c r="F55" s="703"/>
      <c r="G55" s="703"/>
      <c r="H55" s="703"/>
      <c r="I55" s="703"/>
      <c r="J55" s="703"/>
      <c r="K55" s="703"/>
      <c r="L55" s="703"/>
      <c r="M55" s="703"/>
      <c r="N55" s="703"/>
      <c r="O55" s="703"/>
      <c r="P55" s="703"/>
      <c r="Q55" s="704"/>
      <c r="R55" s="731">
        <f ca="1">SUM(C55:Q55)</f>
        <v>364.26355591698569</v>
      </c>
    </row>
    <row r="56" spans="1:18" ht="15.75" thickBot="1">
      <c r="A56" s="823" t="s">
        <v>837</v>
      </c>
      <c r="B56" s="836"/>
      <c r="C56" s="732">
        <f ca="1">SUM(C54:C55)</f>
        <v>170.81691204920639</v>
      </c>
      <c r="D56" s="732">
        <f t="shared" ref="D56:Q56" ca="1" si="7">SUM(D54:D55)</f>
        <v>0</v>
      </c>
      <c r="E56" s="732">
        <f t="shared" si="7"/>
        <v>292.510835284</v>
      </c>
      <c r="F56" s="732">
        <f t="shared" si="7"/>
        <v>3.0803119706798121</v>
      </c>
      <c r="G56" s="732">
        <f t="shared" si="7"/>
        <v>513.51013834034495</v>
      </c>
      <c r="H56" s="732">
        <f t="shared" si="7"/>
        <v>0</v>
      </c>
      <c r="I56" s="732">
        <f t="shared" si="7"/>
        <v>0</v>
      </c>
      <c r="J56" s="732">
        <f t="shared" si="7"/>
        <v>0</v>
      </c>
      <c r="K56" s="732">
        <f t="shared" si="7"/>
        <v>23.677257961251968</v>
      </c>
      <c r="L56" s="732">
        <f t="shared" si="7"/>
        <v>0</v>
      </c>
      <c r="M56" s="732">
        <f t="shared" si="7"/>
        <v>0</v>
      </c>
      <c r="N56" s="732">
        <f t="shared" si="7"/>
        <v>0</v>
      </c>
      <c r="O56" s="732">
        <f t="shared" si="7"/>
        <v>0</v>
      </c>
      <c r="P56" s="732">
        <f t="shared" si="7"/>
        <v>0</v>
      </c>
      <c r="Q56" s="733">
        <f t="shared" si="7"/>
        <v>0</v>
      </c>
      <c r="R56" s="734">
        <f ca="1">SUM(R54:R55)</f>
        <v>1003.595455605483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5075.8937670140904</v>
      </c>
      <c r="D61" s="740">
        <f t="shared" ref="D61:Q61" ca="1" si="8">D46+D52+D56</f>
        <v>0</v>
      </c>
      <c r="E61" s="740">
        <f t="shared" ca="1" si="8"/>
        <v>5707.3534768099098</v>
      </c>
      <c r="F61" s="740">
        <f t="shared" si="8"/>
        <v>1169.3259327053061</v>
      </c>
      <c r="G61" s="740">
        <f t="shared" ca="1" si="8"/>
        <v>9917.4079686507503</v>
      </c>
      <c r="H61" s="740">
        <f t="shared" si="8"/>
        <v>24078.304121575096</v>
      </c>
      <c r="I61" s="740">
        <f t="shared" si="8"/>
        <v>4977.7829905356884</v>
      </c>
      <c r="J61" s="740">
        <f t="shared" si="8"/>
        <v>0</v>
      </c>
      <c r="K61" s="740">
        <f t="shared" si="8"/>
        <v>23.72452008317293</v>
      </c>
      <c r="L61" s="740">
        <f t="shared" si="8"/>
        <v>0</v>
      </c>
      <c r="M61" s="740">
        <f t="shared" ca="1" si="8"/>
        <v>0</v>
      </c>
      <c r="N61" s="740">
        <f t="shared" si="8"/>
        <v>0</v>
      </c>
      <c r="O61" s="740">
        <f t="shared" ca="1" si="8"/>
        <v>0</v>
      </c>
      <c r="P61" s="740">
        <f t="shared" si="8"/>
        <v>0</v>
      </c>
      <c r="Q61" s="740">
        <f t="shared" si="8"/>
        <v>0</v>
      </c>
      <c r="R61" s="740">
        <f ca="1">R46+R52+R56</f>
        <v>50949.792777374016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0.19432680171255309</v>
      </c>
      <c r="D63" s="781">
        <f t="shared" ca="1" si="9"/>
        <v>0</v>
      </c>
      <c r="E63" s="1024">
        <f t="shared" ca="1" si="9"/>
        <v>0.20200000000000001</v>
      </c>
      <c r="F63" s="781">
        <f t="shared" si="9"/>
        <v>0.22699999999999995</v>
      </c>
      <c r="G63" s="781">
        <f t="shared" ca="1" si="9"/>
        <v>0.26700000000000007</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3152.5547746290181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3152.5547746290181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17585.901215439342</v>
      </c>
      <c r="C4" s="477">
        <f>huishoudens!C8</f>
        <v>0</v>
      </c>
      <c r="D4" s="477">
        <f>huishoudens!D8</f>
        <v>21628.471068600003</v>
      </c>
      <c r="E4" s="477">
        <f>huishoudens!E8</f>
        <v>4606.8835063549413</v>
      </c>
      <c r="F4" s="477">
        <f>huishoudens!F8</f>
        <v>33527.920029398541</v>
      </c>
      <c r="G4" s="477">
        <f>huishoudens!G8</f>
        <v>0</v>
      </c>
      <c r="H4" s="477">
        <f>huishoudens!H8</f>
        <v>0</v>
      </c>
      <c r="I4" s="477">
        <f>huishoudens!I8</f>
        <v>0</v>
      </c>
      <c r="J4" s="477">
        <f>huishoudens!J8</f>
        <v>0</v>
      </c>
      <c r="K4" s="477">
        <f>huishoudens!K8</f>
        <v>0</v>
      </c>
      <c r="L4" s="477">
        <f>huishoudens!L8</f>
        <v>0</v>
      </c>
      <c r="M4" s="477">
        <f>huishoudens!M8</f>
        <v>0</v>
      </c>
      <c r="N4" s="477">
        <f>huishoudens!N8</f>
        <v>12249.4574914817</v>
      </c>
      <c r="O4" s="477">
        <f>huishoudens!O8</f>
        <v>189.16333333333336</v>
      </c>
      <c r="P4" s="478">
        <f>huishoudens!P8</f>
        <v>1105.8666666666668</v>
      </c>
      <c r="Q4" s="479">
        <f>SUM(B4:P4)</f>
        <v>90893.663311274533</v>
      </c>
    </row>
    <row r="5" spans="1:17">
      <c r="A5" s="476" t="s">
        <v>156</v>
      </c>
      <c r="B5" s="477">
        <f ca="1">tertiair!B16</f>
        <v>5835.8405229999989</v>
      </c>
      <c r="C5" s="477">
        <f ca="1">tertiair!C16</f>
        <v>0</v>
      </c>
      <c r="D5" s="477">
        <f ca="1">tertiair!D16</f>
        <v>4452.2524266</v>
      </c>
      <c r="E5" s="477">
        <f>tertiair!E16</f>
        <v>68.437561173647296</v>
      </c>
      <c r="F5" s="477">
        <f ca="1">tertiair!F16</f>
        <v>1115.2373717475091</v>
      </c>
      <c r="G5" s="477">
        <f>tertiair!G16</f>
        <v>0</v>
      </c>
      <c r="H5" s="477">
        <f>tertiair!H16</f>
        <v>0</v>
      </c>
      <c r="I5" s="477">
        <f>tertiair!I16</f>
        <v>0</v>
      </c>
      <c r="J5" s="477">
        <f>tertiair!J16</f>
        <v>3.47443035889093E-2</v>
      </c>
      <c r="K5" s="477">
        <f>tertiair!K16</f>
        <v>0</v>
      </c>
      <c r="L5" s="477">
        <f ca="1">tertiair!L16</f>
        <v>0</v>
      </c>
      <c r="M5" s="477">
        <f>tertiair!M16</f>
        <v>0</v>
      </c>
      <c r="N5" s="477">
        <f ca="1">tertiair!N16</f>
        <v>1372.704959699797</v>
      </c>
      <c r="O5" s="477">
        <f>tertiair!O16</f>
        <v>0</v>
      </c>
      <c r="P5" s="478">
        <f>tertiair!P16</f>
        <v>19.066666666666666</v>
      </c>
      <c r="Q5" s="476">
        <f t="shared" ref="Q5:Q14" ca="1" si="0">SUM(B5:P5)</f>
        <v>12863.574253191207</v>
      </c>
    </row>
    <row r="6" spans="1:17">
      <c r="A6" s="476" t="s">
        <v>194</v>
      </c>
      <c r="B6" s="477">
        <f>'openbare verlichting'!B8</f>
        <v>621.76</v>
      </c>
      <c r="C6" s="477"/>
      <c r="D6" s="477"/>
      <c r="E6" s="477"/>
      <c r="F6" s="477"/>
      <c r="G6" s="477"/>
      <c r="H6" s="477"/>
      <c r="I6" s="477"/>
      <c r="J6" s="477"/>
      <c r="K6" s="477"/>
      <c r="L6" s="477"/>
      <c r="M6" s="477"/>
      <c r="N6" s="477"/>
      <c r="O6" s="477"/>
      <c r="P6" s="478"/>
      <c r="Q6" s="476">
        <f t="shared" si="0"/>
        <v>621.76</v>
      </c>
    </row>
    <row r="7" spans="1:17">
      <c r="A7" s="476" t="s">
        <v>112</v>
      </c>
      <c r="B7" s="477">
        <f>landbouw!B8</f>
        <v>461.66199999999998</v>
      </c>
      <c r="C7" s="477">
        <f>landbouw!C8</f>
        <v>0</v>
      </c>
      <c r="D7" s="477">
        <f>landbouw!D8</f>
        <v>46.291542</v>
      </c>
      <c r="E7" s="477">
        <f>landbouw!E8</f>
        <v>13.569656258501375</v>
      </c>
      <c r="F7" s="477">
        <f>landbouw!F8</f>
        <v>1923.2589450949247</v>
      </c>
      <c r="G7" s="477">
        <f>landbouw!G8</f>
        <v>0</v>
      </c>
      <c r="H7" s="477">
        <f>landbouw!H8</f>
        <v>0</v>
      </c>
      <c r="I7" s="477">
        <f>landbouw!I8</f>
        <v>0</v>
      </c>
      <c r="J7" s="477">
        <f>landbouw!J8</f>
        <v>66.884909495062061</v>
      </c>
      <c r="K7" s="477">
        <f>landbouw!K8</f>
        <v>0</v>
      </c>
      <c r="L7" s="477">
        <f>landbouw!L8</f>
        <v>0</v>
      </c>
      <c r="M7" s="477">
        <f>landbouw!M8</f>
        <v>0</v>
      </c>
      <c r="N7" s="477">
        <f>landbouw!N8</f>
        <v>0</v>
      </c>
      <c r="O7" s="477">
        <f>landbouw!O8</f>
        <v>0</v>
      </c>
      <c r="P7" s="478">
        <f>landbouw!P8</f>
        <v>0</v>
      </c>
      <c r="Q7" s="476">
        <f t="shared" si="0"/>
        <v>2511.6670528484879</v>
      </c>
    </row>
    <row r="8" spans="1:17">
      <c r="A8" s="476" t="s">
        <v>635</v>
      </c>
      <c r="B8" s="477">
        <f>industrie!B18</f>
        <v>1149.83475</v>
      </c>
      <c r="C8" s="477">
        <f>industrie!C18</f>
        <v>0</v>
      </c>
      <c r="D8" s="477">
        <f>industrie!D18</f>
        <v>552.13512639999999</v>
      </c>
      <c r="E8" s="477">
        <f>industrie!E18</f>
        <v>199.13907873145249</v>
      </c>
      <c r="F8" s="477">
        <f>industrie!F18</f>
        <v>577.43372361201807</v>
      </c>
      <c r="G8" s="477">
        <f>industrie!G18</f>
        <v>0</v>
      </c>
      <c r="H8" s="477">
        <f>industrie!H18</f>
        <v>0</v>
      </c>
      <c r="I8" s="477">
        <f>industrie!I18</f>
        <v>0</v>
      </c>
      <c r="J8" s="477">
        <f>industrie!J18</f>
        <v>9.8764515396861208E-2</v>
      </c>
      <c r="K8" s="477">
        <f>industrie!K18</f>
        <v>0</v>
      </c>
      <c r="L8" s="477">
        <f>industrie!L18</f>
        <v>0</v>
      </c>
      <c r="M8" s="477">
        <f>industrie!M18</f>
        <v>0</v>
      </c>
      <c r="N8" s="477">
        <f>industrie!N18</f>
        <v>245.56809277904941</v>
      </c>
      <c r="O8" s="477">
        <f>industrie!O18</f>
        <v>0</v>
      </c>
      <c r="P8" s="478">
        <f>industrie!P18</f>
        <v>0</v>
      </c>
      <c r="Q8" s="476">
        <f t="shared" si="0"/>
        <v>2724.2095360379167</v>
      </c>
    </row>
    <row r="9" spans="1:17" s="482" customFormat="1">
      <c r="A9" s="480" t="s">
        <v>561</v>
      </c>
      <c r="B9" s="481">
        <f>transport!B14</f>
        <v>48.044585800948674</v>
      </c>
      <c r="C9" s="481">
        <f>transport!C14</f>
        <v>0</v>
      </c>
      <c r="D9" s="481">
        <f>transport!D14</f>
        <v>173.29306912231834</v>
      </c>
      <c r="E9" s="481">
        <f>transport!E14</f>
        <v>263.18576005989888</v>
      </c>
      <c r="F9" s="481">
        <f>transport!F14</f>
        <v>0</v>
      </c>
      <c r="G9" s="481">
        <f>transport!G14</f>
        <v>89027.591866985458</v>
      </c>
      <c r="H9" s="481">
        <f>transport!H14</f>
        <v>19991.096347532886</v>
      </c>
      <c r="I9" s="481">
        <f>transport!I14</f>
        <v>0</v>
      </c>
      <c r="J9" s="481">
        <f>transport!J14</f>
        <v>0</v>
      </c>
      <c r="K9" s="481">
        <f>transport!K14</f>
        <v>0</v>
      </c>
      <c r="L9" s="481">
        <f>transport!L14</f>
        <v>0</v>
      </c>
      <c r="M9" s="481">
        <f>transport!M14</f>
        <v>5791.2113380868295</v>
      </c>
      <c r="N9" s="481">
        <f>transport!N14</f>
        <v>0</v>
      </c>
      <c r="O9" s="481">
        <f>transport!O14</f>
        <v>0</v>
      </c>
      <c r="P9" s="481">
        <f>transport!P14</f>
        <v>0</v>
      </c>
      <c r="Q9" s="480">
        <f>SUM(B9:P9)</f>
        <v>115294.42296758834</v>
      </c>
    </row>
    <row r="10" spans="1:17">
      <c r="A10" s="476" t="s">
        <v>551</v>
      </c>
      <c r="B10" s="477">
        <f>transport!B54</f>
        <v>0</v>
      </c>
      <c r="C10" s="477">
        <f>transport!C54</f>
        <v>0</v>
      </c>
      <c r="D10" s="477">
        <f>transport!D54</f>
        <v>0</v>
      </c>
      <c r="E10" s="477">
        <f>transport!E54</f>
        <v>0</v>
      </c>
      <c r="F10" s="477">
        <f>transport!F54</f>
        <v>0</v>
      </c>
      <c r="G10" s="477">
        <f>transport!G54</f>
        <v>1153.3224460298786</v>
      </c>
      <c r="H10" s="477">
        <f>transport!H54</f>
        <v>0</v>
      </c>
      <c r="I10" s="477">
        <f>transport!I54</f>
        <v>0</v>
      </c>
      <c r="J10" s="477">
        <f>transport!J54</f>
        <v>0</v>
      </c>
      <c r="K10" s="477">
        <f>transport!K54</f>
        <v>0</v>
      </c>
      <c r="L10" s="477">
        <f>transport!L54</f>
        <v>0</v>
      </c>
      <c r="M10" s="477">
        <f>transport!M54</f>
        <v>65.503623504463064</v>
      </c>
      <c r="N10" s="477">
        <f>transport!N54</f>
        <v>0</v>
      </c>
      <c r="O10" s="477">
        <f>transport!O54</f>
        <v>0</v>
      </c>
      <c r="P10" s="478">
        <f>transport!P54</f>
        <v>0</v>
      </c>
      <c r="Q10" s="476">
        <f t="shared" si="0"/>
        <v>1218.8260695343417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417.35679999999996</v>
      </c>
      <c r="C14" s="484"/>
      <c r="D14" s="484">
        <f>'SEAP template'!E25</f>
        <v>1401.7819</v>
      </c>
      <c r="E14" s="484"/>
      <c r="F14" s="484"/>
      <c r="G14" s="484"/>
      <c r="H14" s="484"/>
      <c r="I14" s="484"/>
      <c r="J14" s="484"/>
      <c r="K14" s="484"/>
      <c r="L14" s="484"/>
      <c r="M14" s="484"/>
      <c r="N14" s="484"/>
      <c r="O14" s="484"/>
      <c r="P14" s="485"/>
      <c r="Q14" s="476">
        <f t="shared" si="0"/>
        <v>1819.1387</v>
      </c>
    </row>
    <row r="15" spans="1:17" s="486" customFormat="1">
      <c r="A15" s="1039" t="s">
        <v>555</v>
      </c>
      <c r="B15" s="987">
        <f ca="1">SUM(B4:B14)</f>
        <v>26120.399874240291</v>
      </c>
      <c r="C15" s="987">
        <f t="shared" ref="C15:Q15" ca="1" si="1">SUM(C4:C14)</f>
        <v>0</v>
      </c>
      <c r="D15" s="987">
        <f t="shared" ca="1" si="1"/>
        <v>28254.22513272232</v>
      </c>
      <c r="E15" s="987">
        <f t="shared" si="1"/>
        <v>5151.2155625784417</v>
      </c>
      <c r="F15" s="987">
        <f t="shared" ca="1" si="1"/>
        <v>37143.85006985299</v>
      </c>
      <c r="G15" s="987">
        <f t="shared" si="1"/>
        <v>90180.914313015339</v>
      </c>
      <c r="H15" s="987">
        <f t="shared" si="1"/>
        <v>19991.096347532886</v>
      </c>
      <c r="I15" s="987">
        <f t="shared" si="1"/>
        <v>0</v>
      </c>
      <c r="J15" s="987">
        <f t="shared" si="1"/>
        <v>67.018418314047835</v>
      </c>
      <c r="K15" s="987">
        <f t="shared" si="1"/>
        <v>0</v>
      </c>
      <c r="L15" s="987">
        <f t="shared" ca="1" si="1"/>
        <v>0</v>
      </c>
      <c r="M15" s="987">
        <f t="shared" si="1"/>
        <v>5856.7149615912922</v>
      </c>
      <c r="N15" s="987">
        <f t="shared" ca="1" si="1"/>
        <v>13867.730543960546</v>
      </c>
      <c r="O15" s="987">
        <f t="shared" si="1"/>
        <v>189.16333333333336</v>
      </c>
      <c r="P15" s="987">
        <f t="shared" si="1"/>
        <v>1124.9333333333334</v>
      </c>
      <c r="Q15" s="987">
        <f t="shared" ca="1" si="1"/>
        <v>227947.26189047482</v>
      </c>
    </row>
    <row r="17" spans="1:17">
      <c r="A17" s="487" t="s">
        <v>556</v>
      </c>
      <c r="B17" s="786">
        <f ca="1">huishoudens!B10</f>
        <v>0.19432680171255315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3417.4119384292285</v>
      </c>
      <c r="C22" s="477">
        <f t="shared" ref="C22:C32" ca="1" si="3">C4*$C$17</f>
        <v>0</v>
      </c>
      <c r="D22" s="477">
        <f t="shared" ref="D22:D32" si="4">D4*$D$17</f>
        <v>4368.9511558572012</v>
      </c>
      <c r="E22" s="477">
        <f t="shared" ref="E22:E32" si="5">E4*$E$17</f>
        <v>1045.7625559425717</v>
      </c>
      <c r="F22" s="477">
        <f t="shared" ref="F22:F32" si="6">F4*$F$17</f>
        <v>8951.9546478494103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17784.080298078414</v>
      </c>
    </row>
    <row r="23" spans="1:17">
      <c r="A23" s="476" t="s">
        <v>156</v>
      </c>
      <c r="B23" s="477">
        <f t="shared" ca="1" si="2"/>
        <v>1134.0602241391032</v>
      </c>
      <c r="C23" s="477">
        <f t="shared" ca="1" si="3"/>
        <v>0</v>
      </c>
      <c r="D23" s="477">
        <f t="shared" ca="1" si="4"/>
        <v>899.35499017320001</v>
      </c>
      <c r="E23" s="477">
        <f t="shared" si="5"/>
        <v>15.535326386417937</v>
      </c>
      <c r="F23" s="477">
        <f t="shared" ca="1" si="6"/>
        <v>297.76837825658492</v>
      </c>
      <c r="G23" s="477">
        <f t="shared" si="7"/>
        <v>0</v>
      </c>
      <c r="H23" s="477">
        <f t="shared" si="8"/>
        <v>0</v>
      </c>
      <c r="I23" s="477">
        <f t="shared" si="9"/>
        <v>0</v>
      </c>
      <c r="J23" s="477">
        <f t="shared" si="10"/>
        <v>1.2299483470473892E-2</v>
      </c>
      <c r="K23" s="477">
        <f t="shared" si="11"/>
        <v>0</v>
      </c>
      <c r="L23" s="477">
        <f t="shared" ca="1" si="12"/>
        <v>0</v>
      </c>
      <c r="M23" s="477">
        <f t="shared" si="13"/>
        <v>0</v>
      </c>
      <c r="N23" s="477">
        <f t="shared" ca="1" si="14"/>
        <v>0</v>
      </c>
      <c r="O23" s="477">
        <f t="shared" si="15"/>
        <v>0</v>
      </c>
      <c r="P23" s="478">
        <f t="shared" si="16"/>
        <v>0</v>
      </c>
      <c r="Q23" s="476">
        <f t="shared" ref="Q23:Q32" ca="1" si="17">SUM(B23:P23)</f>
        <v>2346.731218438777</v>
      </c>
    </row>
    <row r="24" spans="1:17">
      <c r="A24" s="476" t="s">
        <v>194</v>
      </c>
      <c r="B24" s="477">
        <f t="shared" ca="1" si="2"/>
        <v>120.82463223279704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120.82463223279704</v>
      </c>
    </row>
    <row r="25" spans="1:17">
      <c r="A25" s="476" t="s">
        <v>112</v>
      </c>
      <c r="B25" s="477">
        <f t="shared" ca="1" si="2"/>
        <v>89.713299932220707</v>
      </c>
      <c r="C25" s="477">
        <f t="shared" ca="1" si="3"/>
        <v>0</v>
      </c>
      <c r="D25" s="477">
        <f t="shared" si="4"/>
        <v>9.3508914839999999</v>
      </c>
      <c r="E25" s="477">
        <f t="shared" si="5"/>
        <v>3.0803119706798121</v>
      </c>
      <c r="F25" s="477">
        <f t="shared" si="6"/>
        <v>513.51013834034495</v>
      </c>
      <c r="G25" s="477">
        <f t="shared" si="7"/>
        <v>0</v>
      </c>
      <c r="H25" s="477">
        <f t="shared" si="8"/>
        <v>0</v>
      </c>
      <c r="I25" s="477">
        <f t="shared" si="9"/>
        <v>0</v>
      </c>
      <c r="J25" s="477">
        <f t="shared" si="10"/>
        <v>23.677257961251968</v>
      </c>
      <c r="K25" s="477">
        <f t="shared" si="11"/>
        <v>0</v>
      </c>
      <c r="L25" s="477">
        <f t="shared" si="12"/>
        <v>0</v>
      </c>
      <c r="M25" s="477">
        <f t="shared" si="13"/>
        <v>0</v>
      </c>
      <c r="N25" s="477">
        <f t="shared" si="14"/>
        <v>0</v>
      </c>
      <c r="O25" s="477">
        <f t="shared" si="15"/>
        <v>0</v>
      </c>
      <c r="P25" s="478">
        <f t="shared" si="16"/>
        <v>0</v>
      </c>
      <c r="Q25" s="476">
        <f t="shared" ca="1" si="17"/>
        <v>639.3318996884974</v>
      </c>
    </row>
    <row r="26" spans="1:17">
      <c r="A26" s="476" t="s">
        <v>635</v>
      </c>
      <c r="B26" s="477">
        <f t="shared" ca="1" si="2"/>
        <v>223.44370946545311</v>
      </c>
      <c r="C26" s="477">
        <f t="shared" ca="1" si="3"/>
        <v>0</v>
      </c>
      <c r="D26" s="477">
        <f t="shared" si="4"/>
        <v>111.5312955328</v>
      </c>
      <c r="E26" s="477">
        <f t="shared" si="5"/>
        <v>45.204570872039717</v>
      </c>
      <c r="F26" s="477">
        <f t="shared" si="6"/>
        <v>154.17480420440884</v>
      </c>
      <c r="G26" s="477">
        <f t="shared" si="7"/>
        <v>0</v>
      </c>
      <c r="H26" s="477">
        <f t="shared" si="8"/>
        <v>0</v>
      </c>
      <c r="I26" s="477">
        <f t="shared" si="9"/>
        <v>0</v>
      </c>
      <c r="J26" s="477">
        <f t="shared" si="10"/>
        <v>3.4962638450488866E-2</v>
      </c>
      <c r="K26" s="477">
        <f t="shared" si="11"/>
        <v>0</v>
      </c>
      <c r="L26" s="477">
        <f t="shared" si="12"/>
        <v>0</v>
      </c>
      <c r="M26" s="477">
        <f t="shared" si="13"/>
        <v>0</v>
      </c>
      <c r="N26" s="477">
        <f t="shared" si="14"/>
        <v>0</v>
      </c>
      <c r="O26" s="477">
        <f t="shared" si="15"/>
        <v>0</v>
      </c>
      <c r="P26" s="478">
        <f t="shared" si="16"/>
        <v>0</v>
      </c>
      <c r="Q26" s="476">
        <f t="shared" ca="1" si="17"/>
        <v>534.38934271315213</v>
      </c>
    </row>
    <row r="27" spans="1:17" s="482" customFormat="1">
      <c r="A27" s="480" t="s">
        <v>561</v>
      </c>
      <c r="B27" s="780">
        <f t="shared" ca="1" si="2"/>
        <v>9.3363506983026987</v>
      </c>
      <c r="C27" s="481">
        <f t="shared" ca="1" si="3"/>
        <v>0</v>
      </c>
      <c r="D27" s="481">
        <f t="shared" si="4"/>
        <v>35.005199962708311</v>
      </c>
      <c r="E27" s="481">
        <f t="shared" si="5"/>
        <v>59.743167533597045</v>
      </c>
      <c r="F27" s="481">
        <f t="shared" si="6"/>
        <v>0</v>
      </c>
      <c r="G27" s="481">
        <f t="shared" si="7"/>
        <v>23770.367028485118</v>
      </c>
      <c r="H27" s="481">
        <f t="shared" si="8"/>
        <v>4977.7829905356884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28852.234737215414</v>
      </c>
    </row>
    <row r="28" spans="1:17">
      <c r="A28" s="476" t="s">
        <v>551</v>
      </c>
      <c r="B28" s="477">
        <f t="shared" ca="1" si="2"/>
        <v>0</v>
      </c>
      <c r="C28" s="477">
        <f t="shared" ca="1" si="3"/>
        <v>0</v>
      </c>
      <c r="D28" s="477">
        <f t="shared" si="4"/>
        <v>0</v>
      </c>
      <c r="E28" s="477">
        <f t="shared" si="5"/>
        <v>0</v>
      </c>
      <c r="F28" s="477">
        <f t="shared" si="6"/>
        <v>0</v>
      </c>
      <c r="G28" s="477">
        <f t="shared" si="7"/>
        <v>307.93709308997762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307.93709308997762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81.103612116985701</v>
      </c>
      <c r="C32" s="477">
        <f t="shared" ca="1" si="3"/>
        <v>0</v>
      </c>
      <c r="D32" s="477">
        <f t="shared" si="4"/>
        <v>283.15994380000001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364.26355591698569</v>
      </c>
    </row>
    <row r="33" spans="1:17" s="486" customFormat="1">
      <c r="A33" s="1039" t="s">
        <v>555</v>
      </c>
      <c r="B33" s="987">
        <f ca="1">SUM(B22:B32)</f>
        <v>5075.8937670140895</v>
      </c>
      <c r="C33" s="987">
        <f t="shared" ref="C33:Q33" ca="1" si="18">SUM(C22:C32)</f>
        <v>0</v>
      </c>
      <c r="D33" s="987">
        <f t="shared" ca="1" si="18"/>
        <v>5707.3534768099107</v>
      </c>
      <c r="E33" s="987">
        <f t="shared" si="18"/>
        <v>1169.3259327053061</v>
      </c>
      <c r="F33" s="987">
        <f t="shared" ca="1" si="18"/>
        <v>9917.4079686507503</v>
      </c>
      <c r="G33" s="987">
        <f t="shared" si="18"/>
        <v>24078.304121575096</v>
      </c>
      <c r="H33" s="987">
        <f t="shared" si="18"/>
        <v>4977.7829905356884</v>
      </c>
      <c r="I33" s="987">
        <f t="shared" si="18"/>
        <v>0</v>
      </c>
      <c r="J33" s="987">
        <f t="shared" si="18"/>
        <v>23.72452008317293</v>
      </c>
      <c r="K33" s="987">
        <f t="shared" si="18"/>
        <v>0</v>
      </c>
      <c r="L33" s="987">
        <f t="shared" ca="1" si="18"/>
        <v>0</v>
      </c>
      <c r="M33" s="987">
        <f t="shared" si="18"/>
        <v>0</v>
      </c>
      <c r="N33" s="987">
        <f t="shared" ca="1" si="18"/>
        <v>0</v>
      </c>
      <c r="O33" s="987">
        <f t="shared" si="18"/>
        <v>0</v>
      </c>
      <c r="P33" s="987">
        <f t="shared" si="18"/>
        <v>0</v>
      </c>
      <c r="Q33" s="987">
        <f t="shared" ca="1" si="18"/>
        <v>50949.792777374016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3152.5547746290181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3152.5547746290181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0.19432680171255315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0.19432680171255315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0.19432680171255315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0.19432680171255315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3853</v>
      </c>
      <c r="C9" s="342">
        <v>4023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1659.85</v>
      </c>
    </row>
    <row r="15" spans="1:6">
      <c r="A15" s="348" t="s">
        <v>184</v>
      </c>
      <c r="B15" s="334">
        <v>727</v>
      </c>
    </row>
    <row r="16" spans="1:6">
      <c r="A16" s="348" t="s">
        <v>6</v>
      </c>
      <c r="B16" s="334">
        <v>179</v>
      </c>
    </row>
    <row r="17" spans="1:6">
      <c r="A17" s="348" t="s">
        <v>7</v>
      </c>
      <c r="B17" s="334">
        <v>225</v>
      </c>
    </row>
    <row r="18" spans="1:6">
      <c r="A18" s="348" t="s">
        <v>8</v>
      </c>
      <c r="B18" s="334">
        <v>190</v>
      </c>
    </row>
    <row r="19" spans="1:6">
      <c r="A19" s="348" t="s">
        <v>9</v>
      </c>
      <c r="B19" s="334">
        <v>189</v>
      </c>
    </row>
    <row r="20" spans="1:6">
      <c r="A20" s="348" t="s">
        <v>10</v>
      </c>
      <c r="B20" s="334">
        <v>266</v>
      </c>
    </row>
    <row r="21" spans="1:6">
      <c r="A21" s="348" t="s">
        <v>11</v>
      </c>
      <c r="B21" s="334">
        <v>1953</v>
      </c>
    </row>
    <row r="22" spans="1:6">
      <c r="A22" s="348" t="s">
        <v>12</v>
      </c>
      <c r="B22" s="334">
        <v>1340</v>
      </c>
    </row>
    <row r="23" spans="1:6">
      <c r="A23" s="348" t="s">
        <v>13</v>
      </c>
      <c r="B23" s="334">
        <v>153</v>
      </c>
    </row>
    <row r="24" spans="1:6">
      <c r="A24" s="348" t="s">
        <v>14</v>
      </c>
      <c r="B24" s="334">
        <v>2</v>
      </c>
    </row>
    <row r="25" spans="1:6">
      <c r="A25" s="348" t="s">
        <v>15</v>
      </c>
      <c r="B25" s="334">
        <v>609</v>
      </c>
    </row>
    <row r="26" spans="1:6">
      <c r="A26" s="348" t="s">
        <v>16</v>
      </c>
      <c r="B26" s="334">
        <v>103</v>
      </c>
    </row>
    <row r="27" spans="1:6">
      <c r="A27" s="348" t="s">
        <v>17</v>
      </c>
      <c r="B27" s="334">
        <v>33</v>
      </c>
    </row>
    <row r="28" spans="1:6" s="356" customFormat="1">
      <c r="A28" s="355" t="s">
        <v>18</v>
      </c>
      <c r="B28" s="355">
        <v>28</v>
      </c>
    </row>
    <row r="29" spans="1:6">
      <c r="A29" s="355" t="s">
        <v>744</v>
      </c>
      <c r="B29" s="355">
        <v>183</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1467</v>
      </c>
      <c r="D39" s="334">
        <v>23978349.300000001</v>
      </c>
      <c r="E39" s="334">
        <v>3802</v>
      </c>
      <c r="F39" s="334">
        <v>14650146.949999999</v>
      </c>
    </row>
    <row r="40" spans="1:6">
      <c r="A40" s="348" t="s">
        <v>30</v>
      </c>
      <c r="B40" s="348" t="s">
        <v>29</v>
      </c>
      <c r="C40" s="334">
        <v>0</v>
      </c>
      <c r="D40" s="334">
        <v>0</v>
      </c>
      <c r="E40" s="334">
        <v>0</v>
      </c>
      <c r="F40" s="334">
        <v>0</v>
      </c>
    </row>
    <row r="41" spans="1:6">
      <c r="A41" s="348" t="s">
        <v>32</v>
      </c>
      <c r="B41" s="348" t="s">
        <v>33</v>
      </c>
      <c r="C41" s="334">
        <v>22</v>
      </c>
      <c r="D41" s="334">
        <v>443392.2</v>
      </c>
      <c r="E41" s="334">
        <v>70</v>
      </c>
      <c r="F41" s="334">
        <v>667213.4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227969.35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168731</v>
      </c>
      <c r="E48" s="334">
        <v>4</v>
      </c>
      <c r="F48" s="334">
        <v>27588</v>
      </c>
    </row>
    <row r="49" spans="1:6">
      <c r="A49" s="348" t="s">
        <v>32</v>
      </c>
      <c r="B49" s="348" t="s">
        <v>40</v>
      </c>
      <c r="C49" s="334">
        <v>0</v>
      </c>
      <c r="D49" s="334">
        <v>0</v>
      </c>
      <c r="E49" s="334">
        <v>0</v>
      </c>
      <c r="F49" s="334">
        <v>0</v>
      </c>
    </row>
    <row r="50" spans="1:6">
      <c r="A50" s="348" t="s">
        <v>32</v>
      </c>
      <c r="B50" s="348" t="s">
        <v>41</v>
      </c>
      <c r="C50" s="334">
        <v>0</v>
      </c>
      <c r="D50" s="334">
        <v>0</v>
      </c>
      <c r="E50" s="334">
        <v>9</v>
      </c>
      <c r="F50" s="334">
        <v>227064</v>
      </c>
    </row>
    <row r="51" spans="1:6">
      <c r="A51" s="348" t="s">
        <v>42</v>
      </c>
      <c r="B51" s="348" t="s">
        <v>43</v>
      </c>
      <c r="C51" s="334">
        <v>0</v>
      </c>
      <c r="D51" s="334">
        <v>0</v>
      </c>
      <c r="E51" s="334">
        <v>51</v>
      </c>
      <c r="F51" s="334">
        <v>461662</v>
      </c>
    </row>
    <row r="52" spans="1:6">
      <c r="A52" s="348" t="s">
        <v>42</v>
      </c>
      <c r="B52" s="348" t="s">
        <v>29</v>
      </c>
      <c r="C52" s="334">
        <v>1</v>
      </c>
      <c r="D52" s="334">
        <v>51321</v>
      </c>
      <c r="E52" s="334">
        <v>0</v>
      </c>
      <c r="F52" s="334">
        <v>0</v>
      </c>
    </row>
    <row r="53" spans="1:6">
      <c r="A53" s="348" t="s">
        <v>44</v>
      </c>
      <c r="B53" s="348" t="s">
        <v>45</v>
      </c>
      <c r="C53" s="334">
        <v>35</v>
      </c>
      <c r="D53" s="334">
        <v>1401781.9</v>
      </c>
      <c r="E53" s="334">
        <v>84</v>
      </c>
      <c r="F53" s="334">
        <v>417356.79999999999</v>
      </c>
    </row>
    <row r="54" spans="1:6">
      <c r="A54" s="348" t="s">
        <v>46</v>
      </c>
      <c r="B54" s="348" t="s">
        <v>47</v>
      </c>
      <c r="C54" s="334">
        <v>0</v>
      </c>
      <c r="D54" s="334">
        <v>0</v>
      </c>
      <c r="E54" s="334">
        <v>1</v>
      </c>
      <c r="F54" s="334">
        <v>621760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2051450.3</v>
      </c>
      <c r="E57" s="334">
        <v>73</v>
      </c>
      <c r="F57" s="334">
        <v>1600671.49</v>
      </c>
    </row>
    <row r="58" spans="1:6">
      <c r="A58" s="348" t="s">
        <v>49</v>
      </c>
      <c r="B58" s="348" t="s">
        <v>51</v>
      </c>
      <c r="C58" s="334">
        <v>11</v>
      </c>
      <c r="D58" s="334">
        <v>1133676</v>
      </c>
      <c r="E58" s="334">
        <v>33</v>
      </c>
      <c r="F58" s="334">
        <v>612986</v>
      </c>
    </row>
    <row r="59" spans="1:6">
      <c r="A59" s="348" t="s">
        <v>49</v>
      </c>
      <c r="B59" s="348" t="s">
        <v>52</v>
      </c>
      <c r="C59" s="334">
        <v>17</v>
      </c>
      <c r="D59" s="334">
        <v>474809</v>
      </c>
      <c r="E59" s="334">
        <v>75</v>
      </c>
      <c r="F59" s="334">
        <v>1650099</v>
      </c>
    </row>
    <row r="60" spans="1:6">
      <c r="A60" s="348" t="s">
        <v>49</v>
      </c>
      <c r="B60" s="348" t="s">
        <v>53</v>
      </c>
      <c r="C60" s="334">
        <v>8</v>
      </c>
      <c r="D60" s="334">
        <v>297292</v>
      </c>
      <c r="E60" s="334">
        <v>25</v>
      </c>
      <c r="F60" s="334">
        <v>417874.85</v>
      </c>
    </row>
    <row r="61" spans="1:6">
      <c r="A61" s="348" t="s">
        <v>49</v>
      </c>
      <c r="B61" s="348" t="s">
        <v>54</v>
      </c>
      <c r="C61" s="334">
        <v>35</v>
      </c>
      <c r="D61" s="334">
        <v>780812</v>
      </c>
      <c r="E61" s="334">
        <v>166</v>
      </c>
      <c r="F61" s="334">
        <v>1511197.183</v>
      </c>
    </row>
    <row r="62" spans="1:6">
      <c r="A62" s="348" t="s">
        <v>49</v>
      </c>
      <c r="B62" s="348" t="s">
        <v>55</v>
      </c>
      <c r="C62" s="334">
        <v>5</v>
      </c>
      <c r="D62" s="334">
        <v>197939</v>
      </c>
      <c r="E62" s="334">
        <v>6</v>
      </c>
      <c r="F62" s="334">
        <v>43012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7</v>
      </c>
      <c r="F66" s="334">
        <v>15218.8</v>
      </c>
    </row>
    <row r="67" spans="1:6">
      <c r="A67" s="355" t="s">
        <v>56</v>
      </c>
      <c r="B67" s="355" t="s">
        <v>59</v>
      </c>
      <c r="C67" s="334">
        <v>0</v>
      </c>
      <c r="D67" s="334">
        <v>0</v>
      </c>
      <c r="E67" s="334">
        <v>0</v>
      </c>
      <c r="F67" s="334">
        <v>0</v>
      </c>
    </row>
    <row r="68" spans="1:6">
      <c r="A68" s="341" t="s">
        <v>56</v>
      </c>
      <c r="B68" s="341" t="s">
        <v>60</v>
      </c>
      <c r="C68" s="334">
        <v>0</v>
      </c>
      <c r="D68" s="334">
        <v>0</v>
      </c>
      <c r="E68" s="334">
        <v>11</v>
      </c>
      <c r="F68" s="334">
        <v>88879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17116896</v>
      </c>
      <c r="E73" s="475">
        <v>16694271.235160153</v>
      </c>
    </row>
    <row r="74" spans="1:6">
      <c r="A74" s="348" t="s">
        <v>64</v>
      </c>
      <c r="B74" s="348" t="s">
        <v>657</v>
      </c>
      <c r="C74" s="1295" t="s">
        <v>659</v>
      </c>
      <c r="D74" s="475">
        <v>1542824</v>
      </c>
      <c r="E74" s="475">
        <v>1426660.9452614714</v>
      </c>
    </row>
    <row r="75" spans="1:6">
      <c r="A75" s="348" t="s">
        <v>65</v>
      </c>
      <c r="B75" s="348" t="s">
        <v>656</v>
      </c>
      <c r="C75" s="1295" t="s">
        <v>660</v>
      </c>
      <c r="D75" s="475">
        <v>27187082</v>
      </c>
      <c r="E75" s="475">
        <v>28278143.710677214</v>
      </c>
    </row>
    <row r="76" spans="1:6">
      <c r="A76" s="348" t="s">
        <v>65</v>
      </c>
      <c r="B76" s="348" t="s">
        <v>657</v>
      </c>
      <c r="C76" s="1295" t="s">
        <v>661</v>
      </c>
      <c r="D76" s="475">
        <v>987955</v>
      </c>
      <c r="E76" s="475">
        <v>872867.01782397716</v>
      </c>
    </row>
    <row r="77" spans="1:6">
      <c r="A77" s="348" t="s">
        <v>66</v>
      </c>
      <c r="B77" s="348" t="s">
        <v>656</v>
      </c>
      <c r="C77" s="1295" t="s">
        <v>662</v>
      </c>
      <c r="D77" s="475">
        <v>77821546</v>
      </c>
      <c r="E77" s="475">
        <v>80952023.016448259</v>
      </c>
    </row>
    <row r="78" spans="1:6">
      <c r="A78" s="341" t="s">
        <v>66</v>
      </c>
      <c r="B78" s="341" t="s">
        <v>657</v>
      </c>
      <c r="C78" s="341" t="s">
        <v>663</v>
      </c>
      <c r="D78" s="1296">
        <v>7853883</v>
      </c>
      <c r="E78" s="1296">
        <v>8315914.8081058525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330566</v>
      </c>
      <c r="C83" s="475">
        <v>331015.43597991555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2935.7542654393419</v>
      </c>
    </row>
    <row r="92" spans="1:6">
      <c r="A92" s="341" t="s">
        <v>69</v>
      </c>
      <c r="B92" s="342">
        <v>216.80050918967638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346</v>
      </c>
    </row>
    <row r="98" spans="1:6">
      <c r="A98" s="348" t="s">
        <v>72</v>
      </c>
      <c r="B98" s="334">
        <v>3</v>
      </c>
    </row>
    <row r="99" spans="1:6">
      <c r="A99" s="348" t="s">
        <v>73</v>
      </c>
      <c r="B99" s="334">
        <v>91</v>
      </c>
    </row>
    <row r="100" spans="1:6">
      <c r="A100" s="348" t="s">
        <v>74</v>
      </c>
      <c r="B100" s="334">
        <v>270</v>
      </c>
    </row>
    <row r="101" spans="1:6">
      <c r="A101" s="348" t="s">
        <v>75</v>
      </c>
      <c r="B101" s="334">
        <v>71</v>
      </c>
    </row>
    <row r="102" spans="1:6">
      <c r="A102" s="348" t="s">
        <v>76</v>
      </c>
      <c r="B102" s="334">
        <v>29</v>
      </c>
    </row>
    <row r="103" spans="1:6">
      <c r="A103" s="348" t="s">
        <v>77</v>
      </c>
      <c r="B103" s="334">
        <v>94</v>
      </c>
    </row>
    <row r="104" spans="1:6">
      <c r="A104" s="348" t="s">
        <v>78</v>
      </c>
      <c r="B104" s="334">
        <v>2304</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0</v>
      </c>
    </row>
    <row r="131" spans="1:6">
      <c r="A131" s="348" t="s">
        <v>296</v>
      </c>
      <c r="B131" s="334">
        <v>1</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26120.399874240295</v>
      </c>
      <c r="C3" s="43" t="s">
        <v>170</v>
      </c>
      <c r="D3" s="43"/>
      <c r="E3" s="154"/>
      <c r="F3" s="43"/>
      <c r="G3" s="43"/>
      <c r="H3" s="43"/>
      <c r="I3" s="43"/>
      <c r="J3" s="43"/>
      <c r="K3" s="96"/>
    </row>
    <row r="4" spans="1:11">
      <c r="A4" s="383" t="s">
        <v>171</v>
      </c>
      <c r="B4" s="49">
        <f>IF(ISERROR('SEAP template'!B78+'SEAP template'!C78),0,'SEAP template'!B78+'SEAP template'!C78)</f>
        <v>3152.5547746290181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0.19432680171255315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621.76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621.76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0.19432680171255315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120.82463223279704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14650.146949999998</v>
      </c>
      <c r="C5" s="17">
        <f>IF(ISERROR('Eigen informatie GS &amp; warmtenet'!B57),0,'Eigen informatie GS &amp; warmtenet'!B57)</f>
        <v>0</v>
      </c>
      <c r="D5" s="30">
        <f>(SUM(HH_hh_gas_kWh,HH_rest_gas_kWh)/1000)*0.902</f>
        <v>21628.471068600003</v>
      </c>
      <c r="E5" s="17">
        <f>B46*B57</f>
        <v>4606.8835063549413</v>
      </c>
      <c r="F5" s="17">
        <f>B51*B62</f>
        <v>33527.920029398541</v>
      </c>
      <c r="G5" s="18"/>
      <c r="H5" s="17"/>
      <c r="I5" s="17"/>
      <c r="J5" s="17">
        <f>B50*B61+C50*C61</f>
        <v>0</v>
      </c>
      <c r="K5" s="17"/>
      <c r="L5" s="17"/>
      <c r="M5" s="17"/>
      <c r="N5" s="17">
        <f>B48*B59+C48*C59</f>
        <v>12249.4574914817</v>
      </c>
      <c r="O5" s="17">
        <f>B69*B70*B71</f>
        <v>189.16333333333336</v>
      </c>
      <c r="P5" s="17">
        <f>B77*B78*B79/1000-B77*B78*B79/1000/B80</f>
        <v>1105.8666666666668</v>
      </c>
    </row>
    <row r="6" spans="1:16">
      <c r="A6" s="16" t="s">
        <v>621</v>
      </c>
      <c r="B6" s="788">
        <f>kWh_PV_kleiner_dan_10kW</f>
        <v>2935.7542654393419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17585.901215439342</v>
      </c>
      <c r="C8" s="21">
        <f>C5</f>
        <v>0</v>
      </c>
      <c r="D8" s="21">
        <f>D5</f>
        <v>21628.471068600003</v>
      </c>
      <c r="E8" s="21">
        <f>E5</f>
        <v>4606.8835063549413</v>
      </c>
      <c r="F8" s="21">
        <f>F5</f>
        <v>33527.920029398541</v>
      </c>
      <c r="G8" s="21"/>
      <c r="H8" s="21"/>
      <c r="I8" s="21"/>
      <c r="J8" s="21">
        <f>J5</f>
        <v>0</v>
      </c>
      <c r="K8" s="21"/>
      <c r="L8" s="21">
        <f>L5</f>
        <v>0</v>
      </c>
      <c r="M8" s="21">
        <f>M5</f>
        <v>0</v>
      </c>
      <c r="N8" s="21">
        <f>N5</f>
        <v>12249.4574914817</v>
      </c>
      <c r="O8" s="21">
        <f>O5</f>
        <v>189.16333333333336</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0.19432680171255315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3417.4119384292285</v>
      </c>
      <c r="C12" s="23">
        <f ca="1">C10*C8</f>
        <v>0</v>
      </c>
      <c r="D12" s="23">
        <f>D8*D10</f>
        <v>4368.9511558572012</v>
      </c>
      <c r="E12" s="23">
        <f>E10*E8</f>
        <v>1045.7625559425717</v>
      </c>
      <c r="F12" s="23">
        <f>F10*F8</f>
        <v>8951.9546478494103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v>
      </c>
      <c r="C18" s="166" t="s">
        <v>111</v>
      </c>
      <c r="D18" s="228"/>
      <c r="E18" s="15"/>
    </row>
    <row r="19" spans="1:7">
      <c r="A19" s="171" t="s">
        <v>72</v>
      </c>
      <c r="B19" s="37">
        <f>aantalw2001_ander</f>
        <v>3</v>
      </c>
      <c r="C19" s="166" t="s">
        <v>111</v>
      </c>
      <c r="D19" s="229"/>
      <c r="E19" s="15"/>
    </row>
    <row r="20" spans="1:7">
      <c r="A20" s="171" t="s">
        <v>73</v>
      </c>
      <c r="B20" s="37">
        <f>aantalw2001_propaan</f>
        <v>91</v>
      </c>
      <c r="C20" s="167">
        <f>IF(ISERROR(B20/SUM($B$20,$B$21,$B$22)*100),0,B20/SUM($B$20,$B$21,$B$22)*100)</f>
        <v>21.064814814814813</v>
      </c>
      <c r="D20" s="229"/>
      <c r="E20" s="15"/>
    </row>
    <row r="21" spans="1:7">
      <c r="A21" s="171" t="s">
        <v>74</v>
      </c>
      <c r="B21" s="37">
        <f>aantalw2001_elektriciteit</f>
        <v>270</v>
      </c>
      <c r="C21" s="167">
        <f>IF(ISERROR(B21/SUM($B$20,$B$21,$B$22)*100),0,B21/SUM($B$20,$B$21,$B$22)*100)</f>
        <v>62.5</v>
      </c>
      <c r="D21" s="229"/>
      <c r="E21" s="15"/>
    </row>
    <row r="22" spans="1:7">
      <c r="A22" s="171" t="s">
        <v>75</v>
      </c>
      <c r="B22" s="37">
        <f>aantalw2001_hout</f>
        <v>71</v>
      </c>
      <c r="C22" s="167">
        <f>IF(ISERROR(B22/SUM($B$20,$B$21,$B$22)*100),0,B22/SUM($B$20,$B$21,$B$22)*100)</f>
        <v>16.435185185185187</v>
      </c>
      <c r="D22" s="229"/>
      <c r="E22" s="15"/>
    </row>
    <row r="23" spans="1:7">
      <c r="A23" s="171" t="s">
        <v>76</v>
      </c>
      <c r="B23" s="37">
        <f>aantalw2001_niet_gespec</f>
        <v>29</v>
      </c>
      <c r="C23" s="166" t="s">
        <v>111</v>
      </c>
      <c r="D23" s="228"/>
      <c r="E23" s="15"/>
    </row>
    <row r="24" spans="1:7">
      <c r="A24" s="171" t="s">
        <v>77</v>
      </c>
      <c r="B24" s="37">
        <f>aantalw2001_steenkool</f>
        <v>94</v>
      </c>
      <c r="C24" s="166" t="s">
        <v>111</v>
      </c>
      <c r="D24" s="229"/>
      <c r="E24" s="15"/>
    </row>
    <row r="25" spans="1:7">
      <c r="A25" s="171" t="s">
        <v>78</v>
      </c>
      <c r="B25" s="37">
        <f>aantalw2001_stookolie</f>
        <v>2304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3853</v>
      </c>
      <c r="C28" s="36"/>
      <c r="D28" s="228"/>
    </row>
    <row r="29" spans="1:7" s="15" customFormat="1">
      <c r="A29" s="230" t="s">
        <v>794</v>
      </c>
      <c r="B29" s="37">
        <f>SUM(HH_hh_gas_aantal,HH_rest_gas_aantal)</f>
        <v>1467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1467</v>
      </c>
      <c r="C32" s="167">
        <f>IF(ISERROR(B32/SUM($B$32,$B$34,$B$35,$B$36,$B$38,$B$39)*100),0,B32/SUM($B$32,$B$34,$B$35,$B$36,$B$38,$B$39)*100)</f>
        <v>38.656126482213438</v>
      </c>
      <c r="D32" s="233"/>
      <c r="G32" s="15"/>
    </row>
    <row r="33" spans="1:7">
      <c r="A33" s="171" t="s">
        <v>72</v>
      </c>
      <c r="B33" s="34" t="s">
        <v>111</v>
      </c>
      <c r="C33" s="167"/>
      <c r="D33" s="233"/>
      <c r="G33" s="15"/>
    </row>
    <row r="34" spans="1:7">
      <c r="A34" s="171" t="s">
        <v>73</v>
      </c>
      <c r="B34" s="33">
        <f>IF((($B$28-$B$32-$B$39-$B$77-$B$38)*C20/100)&lt;0,0,($B$28-$B$32-$B$39-$B$77-$B$38)*C20/100)</f>
        <v>217.57847222222222</v>
      </c>
      <c r="C34" s="167">
        <f>IF(ISERROR(B34/SUM($B$32,$B$34,$B$35,$B$36,$B$38,$B$39)*100),0,B34/SUM($B$32,$B$34,$B$35,$B$36,$B$38,$B$39)*100)</f>
        <v>5.7332930756843803</v>
      </c>
      <c r="D34" s="233"/>
      <c r="G34" s="15"/>
    </row>
    <row r="35" spans="1:7">
      <c r="A35" s="171" t="s">
        <v>74</v>
      </c>
      <c r="B35" s="33">
        <f>IF((($B$28-$B$32-$B$39-$B$77-$B$38)*C21/100)&lt;0,0,($B$28-$B$32-$B$39-$B$77-$B$38)*C21/100)</f>
        <v>645.56250000000011</v>
      </c>
      <c r="C35" s="167">
        <f>IF(ISERROR(B35/SUM($B$32,$B$34,$B$35,$B$36,$B$38,$B$39)*100),0,B35/SUM($B$32,$B$34,$B$35,$B$36,$B$38,$B$39)*100)</f>
        <v>17.010869565217394</v>
      </c>
      <c r="D35" s="233"/>
      <c r="G35" s="15"/>
    </row>
    <row r="36" spans="1:7">
      <c r="A36" s="171" t="s">
        <v>75</v>
      </c>
      <c r="B36" s="33">
        <f>IF((($B$28-$B$32-$B$39-$B$77-$B$38)*C22/100)&lt;0,0,($B$28-$B$32-$B$39-$B$77-$B$38)*C22/100)</f>
        <v>169.75902777777782</v>
      </c>
      <c r="C36" s="167">
        <f>IF(ISERROR(B36/SUM($B$32,$B$34,$B$35,$B$36,$B$38,$B$39)*100),0,B36/SUM($B$32,$B$34,$B$35,$B$36,$B$38,$B$39)*100)</f>
        <v>4.4732286634460561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1295.0999999999999</v>
      </c>
      <c r="C39" s="167">
        <f>IF(ISERROR(B39/SUM($B$32,$B$34,$B$35,$B$36,$B$38,$B$39)*100),0,B39/SUM($B$32,$B$34,$B$35,$B$36,$B$38,$B$39)*100)</f>
        <v>34.126482213438727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1467</v>
      </c>
      <c r="C44" s="34" t="s">
        <v>111</v>
      </c>
      <c r="D44" s="174"/>
    </row>
    <row r="45" spans="1:7">
      <c r="A45" s="171" t="s">
        <v>72</v>
      </c>
      <c r="B45" s="33" t="str">
        <f t="shared" si="0"/>
        <v>-</v>
      </c>
      <c r="C45" s="34" t="s">
        <v>111</v>
      </c>
      <c r="D45" s="174"/>
    </row>
    <row r="46" spans="1:7">
      <c r="A46" s="171" t="s">
        <v>73</v>
      </c>
      <c r="B46" s="33">
        <f t="shared" si="0"/>
        <v>217.57847222222222</v>
      </c>
      <c r="C46" s="34" t="s">
        <v>111</v>
      </c>
      <c r="D46" s="174"/>
    </row>
    <row r="47" spans="1:7">
      <c r="A47" s="171" t="s">
        <v>74</v>
      </c>
      <c r="B47" s="33">
        <f t="shared" si="0"/>
        <v>645.56250000000011</v>
      </c>
      <c r="C47" s="34" t="s">
        <v>111</v>
      </c>
      <c r="D47" s="174"/>
    </row>
    <row r="48" spans="1:7">
      <c r="A48" s="171" t="s">
        <v>75</v>
      </c>
      <c r="B48" s="33">
        <f t="shared" si="0"/>
        <v>169.75902777777782</v>
      </c>
      <c r="C48" s="33">
        <f>B48*10</f>
        <v>1697.5902777777783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1295.0999999999999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5835.8405229999989</v>
      </c>
      <c r="C5" s="17">
        <f>IF(ISERROR('Eigen informatie GS &amp; warmtenet'!B58),0,'Eigen informatie GS &amp; warmtenet'!B58)</f>
        <v>0</v>
      </c>
      <c r="D5" s="30">
        <f>SUM(D6:D12)</f>
        <v>4452.2524266</v>
      </c>
      <c r="E5" s="17">
        <f>SUM(E6:E12)</f>
        <v>68.437561173647296</v>
      </c>
      <c r="F5" s="17">
        <f>SUM(F6:F12)</f>
        <v>1115.2373717475091</v>
      </c>
      <c r="G5" s="18"/>
      <c r="H5" s="17"/>
      <c r="I5" s="17"/>
      <c r="J5" s="17">
        <f>SUM(J6:J12)</f>
        <v>3.47443035889093E-2</v>
      </c>
      <c r="K5" s="17"/>
      <c r="L5" s="17"/>
      <c r="M5" s="17"/>
      <c r="N5" s="17">
        <f>SUM(N6:N12)</f>
        <v>1372.704959699797</v>
      </c>
      <c r="O5" s="17">
        <f>B38*B39*B40</f>
        <v>0</v>
      </c>
      <c r="P5" s="17">
        <f>B46*B47*B48/1000-B46*B47*B48/1000/B49</f>
        <v>19.066666666666666</v>
      </c>
      <c r="R5" s="32"/>
    </row>
    <row r="6" spans="1:18">
      <c r="A6" s="32" t="s">
        <v>54</v>
      </c>
      <c r="B6" s="37">
        <f>B26</f>
        <v>1511.197183</v>
      </c>
      <c r="C6" s="33"/>
      <c r="D6" s="37">
        <f>IF(ISERROR(TER_kantoor_gas_kWh/1000),0,TER_kantoor_gas_kWh/1000)*0.902</f>
        <v>704.29242399999998</v>
      </c>
      <c r="E6" s="33">
        <f>$C$26*'E Balans VL '!I12/100/3.6*1000000</f>
        <v>9.4716813267351277E-3</v>
      </c>
      <c r="F6" s="33">
        <f>$C$26*('E Balans VL '!L12+'E Balans VL '!N12)/100/3.6*1000000</f>
        <v>227.09070972827087</v>
      </c>
      <c r="G6" s="34"/>
      <c r="H6" s="33"/>
      <c r="I6" s="33"/>
      <c r="J6" s="33">
        <f>$C$26*('E Balans VL '!D12+'E Balans VL '!E12)/100/3.6*1000000</f>
        <v>0</v>
      </c>
      <c r="K6" s="33"/>
      <c r="L6" s="33"/>
      <c r="M6" s="33"/>
      <c r="N6" s="33">
        <f>$C$26*'E Balans VL '!Y12/100/3.6*1000000</f>
        <v>1.4452360459678892</v>
      </c>
      <c r="O6" s="33"/>
      <c r="P6" s="33"/>
      <c r="R6" s="32"/>
    </row>
    <row r="7" spans="1:18">
      <c r="A7" s="32" t="s">
        <v>53</v>
      </c>
      <c r="B7" s="37">
        <f t="shared" ref="B7:B12" si="0">B27</f>
        <v>417.87484999999998</v>
      </c>
      <c r="C7" s="33"/>
      <c r="D7" s="37">
        <f>IF(ISERROR(TER_horeca_gas_kWh/1000),0,TER_horeca_gas_kWh/1000)*0.902</f>
        <v>268.15738399999998</v>
      </c>
      <c r="E7" s="33">
        <f>$C$27*'E Balans VL '!I9/100/3.6*1000000</f>
        <v>5.9838982473373887</v>
      </c>
      <c r="F7" s="33">
        <f>$C$27*('E Balans VL '!L9+'E Balans VL '!N9)/100/3.6*1000000</f>
        <v>52.916738053518145</v>
      </c>
      <c r="G7" s="34"/>
      <c r="H7" s="33"/>
      <c r="I7" s="33"/>
      <c r="J7" s="33">
        <f>$C$27*('E Balans VL '!D9+'E Balans VL '!E9)/100/3.6*1000000</f>
        <v>0</v>
      </c>
      <c r="K7" s="33"/>
      <c r="L7" s="33"/>
      <c r="M7" s="33"/>
      <c r="N7" s="33">
        <f>$C$27*'E Balans VL '!Y9/100/3.6*1000000</f>
        <v>0.12012980602542837</v>
      </c>
      <c r="O7" s="33"/>
      <c r="P7" s="33"/>
      <c r="R7" s="32"/>
    </row>
    <row r="8" spans="1:18">
      <c r="A8" s="6" t="s">
        <v>52</v>
      </c>
      <c r="B8" s="37">
        <f t="shared" si="0"/>
        <v>1650.0989999999999</v>
      </c>
      <c r="C8" s="33"/>
      <c r="D8" s="37">
        <f>IF(ISERROR(TER_handel_gas_kWh/1000),0,TER_handel_gas_kWh/1000)*0.902</f>
        <v>428.27771800000005</v>
      </c>
      <c r="E8" s="33">
        <f>$C$28*'E Balans VL '!I13/100/3.6*1000000</f>
        <v>59.848887248907594</v>
      </c>
      <c r="F8" s="33">
        <f>$C$28*('E Balans VL '!L13+'E Balans VL '!N13)/100/3.6*1000000</f>
        <v>317.82577571465652</v>
      </c>
      <c r="G8" s="34"/>
      <c r="H8" s="33"/>
      <c r="I8" s="33"/>
      <c r="J8" s="33">
        <f>$C$28*('E Balans VL '!D13+'E Balans VL '!E13)/100/3.6*1000000</f>
        <v>0</v>
      </c>
      <c r="K8" s="33"/>
      <c r="L8" s="33"/>
      <c r="M8" s="33"/>
      <c r="N8" s="33">
        <f>$C$28*'E Balans VL '!Y13/100/3.6*1000000</f>
        <v>2.285766785847088</v>
      </c>
      <c r="O8" s="33"/>
      <c r="P8" s="33"/>
      <c r="R8" s="32"/>
    </row>
    <row r="9" spans="1:18">
      <c r="A9" s="32" t="s">
        <v>51</v>
      </c>
      <c r="B9" s="37">
        <f t="shared" si="0"/>
        <v>612.98599999999999</v>
      </c>
      <c r="C9" s="33"/>
      <c r="D9" s="37">
        <f>IF(ISERROR(TER_gezond_gas_kWh/1000),0,TER_gezond_gas_kWh/1000)*0.902</f>
        <v>1022.575752</v>
      </c>
      <c r="E9" s="33">
        <f>$C$29*'E Balans VL '!I10/100/3.6*1000000</f>
        <v>3.8378975743367086E-2</v>
      </c>
      <c r="F9" s="33">
        <f>$C$29*('E Balans VL '!L10+'E Balans VL '!N10)/100/3.6*1000000</f>
        <v>91.060936664626837</v>
      </c>
      <c r="G9" s="34"/>
      <c r="H9" s="33"/>
      <c r="I9" s="33"/>
      <c r="J9" s="33">
        <f>$C$29*('E Balans VL '!D10+'E Balans VL '!E10)/100/3.6*1000000</f>
        <v>0</v>
      </c>
      <c r="K9" s="33"/>
      <c r="L9" s="33"/>
      <c r="M9" s="33"/>
      <c r="N9" s="33">
        <f>$C$29*'E Balans VL '!Y10/100/3.6*1000000</f>
        <v>9.4817265960930133</v>
      </c>
      <c r="O9" s="33"/>
      <c r="P9" s="33"/>
      <c r="R9" s="32"/>
    </row>
    <row r="10" spans="1:18">
      <c r="A10" s="32" t="s">
        <v>50</v>
      </c>
      <c r="B10" s="37">
        <f t="shared" si="0"/>
        <v>1600.6714899999999</v>
      </c>
      <c r="C10" s="33"/>
      <c r="D10" s="37">
        <f>IF(ISERROR(TER_ander_gas_kWh/1000),0,TER_ander_gas_kWh/1000)*0.902</f>
        <v>1850.4081705999999</v>
      </c>
      <c r="E10" s="33">
        <f>$C$30*'E Balans VL '!I14/100/3.6*1000000</f>
        <v>1.9079432177457676</v>
      </c>
      <c r="F10" s="33">
        <f>$C$30*('E Balans VL '!L14+'E Balans VL '!N14)/100/3.6*1000000</f>
        <v>418.80682204929451</v>
      </c>
      <c r="G10" s="34"/>
      <c r="H10" s="33"/>
      <c r="I10" s="33"/>
      <c r="J10" s="33">
        <f>$C$30*('E Balans VL '!D14+'E Balans VL '!E14)/100/3.6*1000000</f>
        <v>3.47443035889093E-2</v>
      </c>
      <c r="K10" s="33"/>
      <c r="L10" s="33"/>
      <c r="M10" s="33"/>
      <c r="N10" s="33">
        <f>$C$30*'E Balans VL '!Y14/100/3.6*1000000</f>
        <v>1359.2510614279668</v>
      </c>
      <c r="O10" s="33"/>
      <c r="P10" s="33"/>
      <c r="R10" s="32"/>
    </row>
    <row r="11" spans="1:18">
      <c r="A11" s="32" t="s">
        <v>55</v>
      </c>
      <c r="B11" s="37">
        <f t="shared" si="0"/>
        <v>43.012</v>
      </c>
      <c r="C11" s="33"/>
      <c r="D11" s="37">
        <f>IF(ISERROR(TER_onderwijs_gas_kWh/1000),0,TER_onderwijs_gas_kWh/1000)*0.902</f>
        <v>178.540978</v>
      </c>
      <c r="E11" s="33">
        <f>$C$31*'E Balans VL '!I11/100/3.6*1000000</f>
        <v>0.6489818025864319</v>
      </c>
      <c r="F11" s="33">
        <f>$C$31*('E Balans VL '!L11+'E Balans VL '!N11)/100/3.6*1000000</f>
        <v>7.5363895371421004</v>
      </c>
      <c r="G11" s="34"/>
      <c r="H11" s="33"/>
      <c r="I11" s="33"/>
      <c r="J11" s="33">
        <f>$C$31*('E Balans VL '!D11+'E Balans VL '!E11)/100/3.6*1000000</f>
        <v>0</v>
      </c>
      <c r="K11" s="33"/>
      <c r="L11" s="33"/>
      <c r="M11" s="33"/>
      <c r="N11" s="33">
        <f>$C$31*'E Balans VL '!Y11/100/3.6*1000000</f>
        <v>0.12103903789676379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5835.8405229999989</v>
      </c>
      <c r="C16" s="21">
        <f t="shared" ca="1" si="1"/>
        <v>0</v>
      </c>
      <c r="D16" s="21">
        <f t="shared" ca="1" si="1"/>
        <v>4452.2524266</v>
      </c>
      <c r="E16" s="21">
        <f t="shared" si="1"/>
        <v>68.437561173647296</v>
      </c>
      <c r="F16" s="21">
        <f t="shared" ca="1" si="1"/>
        <v>1115.2373717475091</v>
      </c>
      <c r="G16" s="21">
        <f t="shared" si="1"/>
        <v>0</v>
      </c>
      <c r="H16" s="21">
        <f t="shared" si="1"/>
        <v>0</v>
      </c>
      <c r="I16" s="21">
        <f t="shared" si="1"/>
        <v>0</v>
      </c>
      <c r="J16" s="21">
        <f t="shared" si="1"/>
        <v>3.47443035889093E-2</v>
      </c>
      <c r="K16" s="21">
        <f t="shared" si="1"/>
        <v>0</v>
      </c>
      <c r="L16" s="21">
        <f t="shared" ca="1" si="1"/>
        <v>0</v>
      </c>
      <c r="M16" s="21">
        <f t="shared" si="1"/>
        <v>0</v>
      </c>
      <c r="N16" s="21">
        <f t="shared" ca="1" si="1"/>
        <v>1372.704959699797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0.19432680171255315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1134.0602241391032</v>
      </c>
      <c r="C20" s="23">
        <f t="shared" ref="C20:P20" ca="1" si="2">C16*C18</f>
        <v>0</v>
      </c>
      <c r="D20" s="23">
        <f t="shared" ca="1" si="2"/>
        <v>899.35499017320001</v>
      </c>
      <c r="E20" s="23">
        <f t="shared" si="2"/>
        <v>15.535326386417937</v>
      </c>
      <c r="F20" s="23">
        <f t="shared" ca="1" si="2"/>
        <v>297.76837825658492</v>
      </c>
      <c r="G20" s="23">
        <f t="shared" si="2"/>
        <v>0</v>
      </c>
      <c r="H20" s="23">
        <f t="shared" si="2"/>
        <v>0</v>
      </c>
      <c r="I20" s="23">
        <f t="shared" si="2"/>
        <v>0</v>
      </c>
      <c r="J20" s="23">
        <f t="shared" si="2"/>
        <v>1.2299483470473892E-2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1511.197183</v>
      </c>
      <c r="C26" s="39">
        <f>IF(ISERROR(B26*3.6/1000000/'E Balans VL '!Z12*100),0,B26*3.6/1000000/'E Balans VL '!Z12*100)</f>
        <v>3.194431451891229E-2</v>
      </c>
      <c r="D26" s="237" t="s">
        <v>754</v>
      </c>
      <c r="F26" s="6"/>
    </row>
    <row r="27" spans="1:18">
      <c r="A27" s="231" t="s">
        <v>53</v>
      </c>
      <c r="B27" s="33">
        <f>IF(ISERROR(TER_horeca_ele_kWh/1000),0,TER_horeca_ele_kWh/1000)</f>
        <v>417.87484999999998</v>
      </c>
      <c r="C27" s="39">
        <f>IF(ISERROR(B27*3.6/1000000/'E Balans VL '!Z9*100),0,B27*3.6/1000000/'E Balans VL '!Z9*100)</f>
        <v>3.2940918675592089E-2</v>
      </c>
      <c r="D27" s="237" t="s">
        <v>754</v>
      </c>
      <c r="F27" s="6"/>
    </row>
    <row r="28" spans="1:18">
      <c r="A28" s="171" t="s">
        <v>52</v>
      </c>
      <c r="B28" s="33">
        <f>IF(ISERROR(TER_handel_ele_kWh/1000),0,TER_handel_ele_kWh/1000)</f>
        <v>1650.0989999999999</v>
      </c>
      <c r="C28" s="39">
        <f>IF(ISERROR(B28*3.6/1000000/'E Balans VL '!Z13*100),0,B28*3.6/1000000/'E Balans VL '!Z13*100)</f>
        <v>4.7892540127054531E-2</v>
      </c>
      <c r="D28" s="237" t="s">
        <v>754</v>
      </c>
      <c r="F28" s="6"/>
    </row>
    <row r="29" spans="1:18">
      <c r="A29" s="231" t="s">
        <v>51</v>
      </c>
      <c r="B29" s="33">
        <f>IF(ISERROR(TER_gezond_ele_kWh/1000),0,TER_gezond_ele_kWh/1000)</f>
        <v>612.98599999999999</v>
      </c>
      <c r="C29" s="39">
        <f>IF(ISERROR(B29*3.6/1000000/'E Balans VL '!Z10*100),0,B29*3.6/1000000/'E Balans VL '!Z10*100)</f>
        <v>6.455749129581019E-2</v>
      </c>
      <c r="D29" s="237" t="s">
        <v>754</v>
      </c>
      <c r="F29" s="6"/>
    </row>
    <row r="30" spans="1:18">
      <c r="A30" s="231" t="s">
        <v>50</v>
      </c>
      <c r="B30" s="33">
        <f>IF(ISERROR(TER_ander_ele_kWh/1000),0,TER_ander_ele_kWh/1000)</f>
        <v>1600.6714899999999</v>
      </c>
      <c r="C30" s="39">
        <f>IF(ISERROR(B30*3.6/1000000/'E Balans VL '!Z14*100),0,B30*3.6/1000000/'E Balans VL '!Z14*100)</f>
        <v>0.11806587676651821</v>
      </c>
      <c r="D30" s="237" t="s">
        <v>754</v>
      </c>
      <c r="F30" s="6"/>
    </row>
    <row r="31" spans="1:18">
      <c r="A31" s="231" t="s">
        <v>55</v>
      </c>
      <c r="B31" s="33">
        <f>IF(ISERROR(TER_onderwijs_ele_kWh/1000),0,TER_onderwijs_ele_kWh/1000)</f>
        <v>43.012</v>
      </c>
      <c r="C31" s="39">
        <f>IF(ISERROR(B31*3.6/1000000/'E Balans VL '!Z11*100),0,B31*3.6/1000000/'E Balans VL '!Z11*100)</f>
        <v>1.0681894400735765E-2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1149.83475</v>
      </c>
      <c r="C5" s="17">
        <f>IF(ISERROR('Eigen informatie GS &amp; warmtenet'!B59),0,'Eigen informatie GS &amp; warmtenet'!B59)</f>
        <v>0</v>
      </c>
      <c r="D5" s="30">
        <f>SUM(D6:D15)</f>
        <v>552.13512639999999</v>
      </c>
      <c r="E5" s="17">
        <f>SUM(E6:E15)</f>
        <v>199.13907873145249</v>
      </c>
      <c r="F5" s="17">
        <f>SUM(F6:F15)</f>
        <v>577.43372361201807</v>
      </c>
      <c r="G5" s="18"/>
      <c r="H5" s="17"/>
      <c r="I5" s="17"/>
      <c r="J5" s="17">
        <f>SUM(J6:J15)</f>
        <v>9.8764515396861208E-2</v>
      </c>
      <c r="K5" s="17"/>
      <c r="L5" s="17"/>
      <c r="M5" s="17"/>
      <c r="N5" s="17">
        <f>SUM(N6:N15)</f>
        <v>245.56809277904941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227.96935000000002</v>
      </c>
      <c r="C8" s="33"/>
      <c r="D8" s="37">
        <f>IF( ISERROR(IND_metaal_Gas_kWH/1000),0,IND_metaal_Gas_kWH/1000)*0.902</f>
        <v>0</v>
      </c>
      <c r="E8" s="33">
        <f>C30*'E Balans VL '!I18/100/3.6*1000000</f>
        <v>2.0959579983579011</v>
      </c>
      <c r="F8" s="33">
        <f>C30*'E Balans VL '!L18/100/3.6*1000000+C30*'E Balans VL '!N18/100/3.6*1000000</f>
        <v>21.375935162057278</v>
      </c>
      <c r="G8" s="34"/>
      <c r="H8" s="33"/>
      <c r="I8" s="33"/>
      <c r="J8" s="40">
        <f>C30*'E Balans VL '!D18/100/3.6*1000000+C30*'E Balans VL '!E18/100/3.6*1000000</f>
        <v>0</v>
      </c>
      <c r="K8" s="33"/>
      <c r="L8" s="33"/>
      <c r="M8" s="33"/>
      <c r="N8" s="33">
        <f>C30*'E Balans VL '!Y18/100/3.6*1000000</f>
        <v>3.2523595129655902</v>
      </c>
      <c r="O8" s="33"/>
      <c r="P8" s="33"/>
      <c r="R8" s="32"/>
    </row>
    <row r="9" spans="1:18">
      <c r="A9" s="6" t="s">
        <v>33</v>
      </c>
      <c r="B9" s="37">
        <f t="shared" si="0"/>
        <v>667.21339999999998</v>
      </c>
      <c r="C9" s="33"/>
      <c r="D9" s="37">
        <f>IF( ISERROR(IND_andere_gas_kWh/1000),0,IND_andere_gas_kWh/1000)*0.902</f>
        <v>399.9397644</v>
      </c>
      <c r="E9" s="33">
        <f>C31*'E Balans VL '!I19/100/3.6*1000000</f>
        <v>195.03946593284101</v>
      </c>
      <c r="F9" s="33">
        <f>C31*'E Balans VL '!L19/100/3.6*1000000+C31*'E Balans VL '!N19/100/3.6*1000000</f>
        <v>536.1564703138273</v>
      </c>
      <c r="G9" s="34"/>
      <c r="H9" s="33"/>
      <c r="I9" s="33"/>
      <c r="J9" s="40">
        <f>C31*'E Balans VL '!D19/100/3.6*1000000+C31*'E Balans VL '!E19/100/3.6*1000000</f>
        <v>0</v>
      </c>
      <c r="K9" s="33"/>
      <c r="L9" s="33"/>
      <c r="M9" s="33"/>
      <c r="N9" s="33">
        <f>C31*'E Balans VL '!Y19/100/3.6*1000000</f>
        <v>220.45765510617821</v>
      </c>
      <c r="O9" s="33"/>
      <c r="P9" s="33"/>
      <c r="R9" s="32"/>
    </row>
    <row r="10" spans="1:18">
      <c r="A10" s="6" t="s">
        <v>41</v>
      </c>
      <c r="B10" s="37">
        <f t="shared" si="0"/>
        <v>227.06399999999999</v>
      </c>
      <c r="C10" s="33"/>
      <c r="D10" s="37">
        <f>IF( ISERROR(IND_voed_gas_kWh/1000),0,IND_voed_gas_kWh/1000)*0.902</f>
        <v>0</v>
      </c>
      <c r="E10" s="33">
        <f>C32*'E Balans VL '!I20/100/3.6*1000000</f>
        <v>0.48035741266901838</v>
      </c>
      <c r="F10" s="33">
        <f>C32*'E Balans VL '!L20/100/3.6*1000000+C32*'E Balans VL '!N20/100/3.6*1000000</f>
        <v>14.436961059074489</v>
      </c>
      <c r="G10" s="34"/>
      <c r="H10" s="33"/>
      <c r="I10" s="33"/>
      <c r="J10" s="40">
        <f>C32*'E Balans VL '!D20/100/3.6*1000000+C32*'E Balans VL '!E20/100/3.6*1000000</f>
        <v>0</v>
      </c>
      <c r="K10" s="33"/>
      <c r="L10" s="33"/>
      <c r="M10" s="33"/>
      <c r="N10" s="33">
        <f>C32*'E Balans VL '!Y20/100/3.6*1000000</f>
        <v>15.66965672230311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27.588000000000001</v>
      </c>
      <c r="C15" s="33"/>
      <c r="D15" s="37">
        <f>IF( ISERROR(IND_rest_gas_kWh/1000),0,IND_rest_gas_kWh/1000)*0.902</f>
        <v>152.19536199999999</v>
      </c>
      <c r="E15" s="33">
        <f>C37*'E Balans VL '!I15/100/3.6*1000000</f>
        <v>1.5232973875845739</v>
      </c>
      <c r="F15" s="33">
        <f>C37*'E Balans VL '!L15/100/3.6*1000000+C37*'E Balans VL '!N15/100/3.6*1000000</f>
        <v>5.4643570770589784</v>
      </c>
      <c r="G15" s="34"/>
      <c r="H15" s="33"/>
      <c r="I15" s="33"/>
      <c r="J15" s="40">
        <f>C37*'E Balans VL '!D15/100/3.6*1000000+C37*'E Balans VL '!E15/100/3.6*1000000</f>
        <v>9.8764515396861208E-2</v>
      </c>
      <c r="K15" s="33"/>
      <c r="L15" s="33"/>
      <c r="M15" s="33"/>
      <c r="N15" s="33">
        <f>C37*'E Balans VL '!Y15/100/3.6*1000000</f>
        <v>6.1884214376024902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1149.83475</v>
      </c>
      <c r="C18" s="21">
        <f>C5+C16</f>
        <v>0</v>
      </c>
      <c r="D18" s="21">
        <f>MAX((D5+D16),0)</f>
        <v>552.13512639999999</v>
      </c>
      <c r="E18" s="21">
        <f>MAX((E5+E16),0)</f>
        <v>199.13907873145249</v>
      </c>
      <c r="F18" s="21">
        <f>MAX((F5+F16),0)</f>
        <v>577.43372361201807</v>
      </c>
      <c r="G18" s="21"/>
      <c r="H18" s="21"/>
      <c r="I18" s="21"/>
      <c r="J18" s="21">
        <f>MAX((J5+J16),0)</f>
        <v>9.8764515396861208E-2</v>
      </c>
      <c r="K18" s="21"/>
      <c r="L18" s="21">
        <f>MAX((L5+L16),0)</f>
        <v>0</v>
      </c>
      <c r="M18" s="21"/>
      <c r="N18" s="21">
        <f>MAX((N5+N16),0)</f>
        <v>245.56809277904941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0.19432680171255315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223.44370946545311</v>
      </c>
      <c r="C22" s="23">
        <f ca="1">C18*C20</f>
        <v>0</v>
      </c>
      <c r="D22" s="23">
        <f>D18*D20</f>
        <v>111.5312955328</v>
      </c>
      <c r="E22" s="23">
        <f>E18*E20</f>
        <v>45.204570872039717</v>
      </c>
      <c r="F22" s="23">
        <f>F18*F20</f>
        <v>154.17480420440884</v>
      </c>
      <c r="G22" s="23"/>
      <c r="H22" s="23"/>
      <c r="I22" s="23"/>
      <c r="J22" s="23">
        <f>J18*J20</f>
        <v>3.4962638450488866E-2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227.96935000000002</v>
      </c>
      <c r="C30" s="39">
        <f>IF(ISERROR(B30*3.6/1000000/'E Balans VL '!Z18*100),0,B30*3.6/1000000/'E Balans VL '!Z18*100)</f>
        <v>1.291960761614591E-2</v>
      </c>
      <c r="D30" s="237" t="s">
        <v>754</v>
      </c>
    </row>
    <row r="31" spans="1:18">
      <c r="A31" s="6" t="s">
        <v>33</v>
      </c>
      <c r="B31" s="37">
        <f>IF( ISERROR(IND_ander_ele_kWh/1000),0,IND_ander_ele_kWh/1000)</f>
        <v>667.21339999999998</v>
      </c>
      <c r="C31" s="39">
        <f>IF(ISERROR(B31*3.6/1000000/'E Balans VL '!Z19*100),0,B31*3.6/1000000/'E Balans VL '!Z19*100)</f>
        <v>3.0262021595756614E-2</v>
      </c>
      <c r="D31" s="237" t="s">
        <v>754</v>
      </c>
    </row>
    <row r="32" spans="1:18">
      <c r="A32" s="171" t="s">
        <v>41</v>
      </c>
      <c r="B32" s="37">
        <f>IF( ISERROR(IND_voed_ele_kWh/1000),0,IND_voed_ele_kWh/1000)</f>
        <v>227.06399999999999</v>
      </c>
      <c r="C32" s="39">
        <f>IF(ISERROR(B32*3.6/1000000/'E Balans VL '!Z20*100),0,B32*3.6/1000000/'E Balans VL '!Z20*100)</f>
        <v>7.0241203035252839E-3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27.588000000000001</v>
      </c>
      <c r="C37" s="39">
        <f>IF(ISERROR(B37*3.6/1000000/'E Balans VL '!Z15*100),0,B37*3.6/1000000/'E Balans VL '!Z15*100)</f>
        <v>2.186687812862734E-4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461.66199999999998</v>
      </c>
      <c r="C5" s="17">
        <f>'Eigen informatie GS &amp; warmtenet'!B60</f>
        <v>0</v>
      </c>
      <c r="D5" s="30">
        <f>IF(ISERROR(SUM(LB_lb_gas_kWh,LB_rest_gas_kWh)/1000),0,SUM(LB_lb_gas_kWh,LB_rest_gas_kWh)/1000)*0.902</f>
        <v>46.291542</v>
      </c>
      <c r="E5" s="17">
        <f>B17*'E Balans VL '!I25/3.6*1000000/100</f>
        <v>13.569656258501375</v>
      </c>
      <c r="F5" s="17">
        <f>B17*('E Balans VL '!L25/3.6*1000000+'E Balans VL '!N25/3.6*1000000)/100</f>
        <v>1923.2589450949247</v>
      </c>
      <c r="G5" s="18"/>
      <c r="H5" s="17"/>
      <c r="I5" s="17"/>
      <c r="J5" s="17">
        <f>('E Balans VL '!D25+'E Balans VL '!E25)/3.6*1000000*landbouw!B17/100</f>
        <v>66.884909495062061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461.66199999999998</v>
      </c>
      <c r="C8" s="21">
        <f>C5+C6</f>
        <v>0</v>
      </c>
      <c r="D8" s="21">
        <f>MAX((D5+D6),0)</f>
        <v>46.291542</v>
      </c>
      <c r="E8" s="21">
        <f>MAX((E5+E6),0)</f>
        <v>13.569656258501375</v>
      </c>
      <c r="F8" s="21">
        <f>MAX((F5+F6),0)</f>
        <v>1923.2589450949247</v>
      </c>
      <c r="G8" s="21"/>
      <c r="H8" s="21"/>
      <c r="I8" s="21"/>
      <c r="J8" s="21">
        <f>MAX((J5+J6),0)</f>
        <v>66.884909495062061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0.19432680171255315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89.713299932220707</v>
      </c>
      <c r="C12" s="23">
        <f ca="1">C8*C10</f>
        <v>0</v>
      </c>
      <c r="D12" s="23">
        <f>D8*D10</f>
        <v>9.3508914839999999</v>
      </c>
      <c r="E12" s="23">
        <f>E8*E10</f>
        <v>3.0803119706798121</v>
      </c>
      <c r="F12" s="23">
        <f>F8*F10</f>
        <v>513.51013834034495</v>
      </c>
      <c r="G12" s="23"/>
      <c r="H12" s="23"/>
      <c r="I12" s="23"/>
      <c r="J12" s="23">
        <f>J8*J10</f>
        <v>23.677257961251968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6.5511286220352682E-2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89.388267095237879</v>
      </c>
      <c r="C26" s="247">
        <f>B26*'GWP N2O_CH4'!B5</f>
        <v>1877.1536089999954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30.94366631848375</v>
      </c>
      <c r="C27" s="247">
        <f>B27*'GWP N2O_CH4'!B5</f>
        <v>649.81699268815873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1.7291303612761137</v>
      </c>
      <c r="C28" s="247">
        <f>B28*'GWP N2O_CH4'!B4</f>
        <v>536.03041199559527</v>
      </c>
      <c r="D28" s="50"/>
    </row>
    <row r="29" spans="1:4">
      <c r="A29" s="41" t="s">
        <v>277</v>
      </c>
      <c r="B29" s="247">
        <f>B34*'ha_N2O bodem landbouw'!B4</f>
        <v>10.799383103074202</v>
      </c>
      <c r="C29" s="247">
        <f>B29*'GWP N2O_CH4'!B4</f>
        <v>3347.8087619530029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2.4643820077917141E-3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1.7296050888341522E-4</v>
      </c>
      <c r="C5" s="463" t="s">
        <v>211</v>
      </c>
      <c r="D5" s="448">
        <f>SUM(D6:D11)</f>
        <v>6.2385504884034603E-4</v>
      </c>
      <c r="E5" s="448">
        <f>SUM(E6:E11)</f>
        <v>9.4746873621563601E-4</v>
      </c>
      <c r="F5" s="461" t="s">
        <v>211</v>
      </c>
      <c r="G5" s="448">
        <f>SUM(G6:G11)</f>
        <v>0.32049933072114767</v>
      </c>
      <c r="H5" s="448">
        <f>SUM(H6:H11)</f>
        <v>7.1967946851118389E-2</v>
      </c>
      <c r="I5" s="463" t="s">
        <v>211</v>
      </c>
      <c r="J5" s="463" t="s">
        <v>211</v>
      </c>
      <c r="K5" s="463" t="s">
        <v>211</v>
      </c>
      <c r="L5" s="463" t="s">
        <v>211</v>
      </c>
      <c r="M5" s="448">
        <f>SUM(M6:M11)</f>
        <v>2.0848360817112589E-2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2.4241836969841738E-5</v>
      </c>
      <c r="C6" s="449"/>
      <c r="D6" s="892">
        <f>vkm_2011_GW_PW*SUMIFS(TableVerdeelsleutelVkm[CNG],TableVerdeelsleutelVkm[Voertuigtype],"Lichte voertuigen")*SUMIFS(TableECFTransport[EnergieConsumptieFactor (PJ per km)],TableECFTransport[Index],CONCATENATE($A6,"_CNG_CNG"))</f>
        <v>7.2711597360694658E-5</v>
      </c>
      <c r="E6" s="892">
        <f>vkm_2011_GW_PW*SUMIFS(TableVerdeelsleutelVkm[LPG],TableVerdeelsleutelVkm[Voertuigtype],"Lichte voertuigen")*SUMIFS(TableECFTransport[EnergieConsumptieFactor (PJ per km)],TableECFTransport[Index],CONCATENATE($A6,"_LPG_LPG"))</f>
        <v>9.9334486500940954E-5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2.5683344645507519E-2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8.2701075411804707E-3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1.7445034588548329E-3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1.4477936149503573E-2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4.4125807452112837E-6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8.4604174279298181E-4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3.85037573126412E-5</v>
      </c>
      <c r="C8" s="449"/>
      <c r="D8" s="451">
        <f>vkm_2011_NGW_PW*SUMIFS(TableVerdeelsleutelVkm[CNG],TableVerdeelsleutelVkm[Voertuigtype],"Lichte voertuigen")*SUMIFS(TableECFTransport[EnergieConsumptieFactor (PJ per km)],TableECFTransport[Index],CONCATENATE($A8,"_CNG_CNG"))</f>
        <v>2.053410429743118E-4</v>
      </c>
      <c r="E8" s="451">
        <f>vkm_2011_NGW_PW*SUMIFS(TableVerdeelsleutelVkm[LPG],TableVerdeelsleutelVkm[Voertuigtype],"Lichte voertuigen")*SUMIFS(TableECFTransport[EnergieConsumptieFactor (PJ per km)],TableECFTransport[Index],CONCATENATE($A8,"_LPG_LPG"))</f>
        <v>2.597983161005703E-4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6.2597136241021603E-2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2.2696120360503565E-2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4.3267136649566464E-3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1.1887704688369622E-2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3.4108645105259952E-6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6.9467109539446837E-4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1.1021491460093229E-4</v>
      </c>
      <c r="C10" s="449"/>
      <c r="D10" s="451">
        <f>vkm_2011_SW_PW*SUMIFS(TableVerdeelsleutelVkm[CNG],TableVerdeelsleutelVkm[Voertuigtype],"Lichte voertuigen")*SUMIFS(TableECFTransport[EnergieConsumptieFactor (PJ per km)],TableECFTransport[Index],CONCATENATE($A10,"_CNG_CNG"))</f>
        <v>3.4580240850533956E-4</v>
      </c>
      <c r="E10" s="451">
        <f>vkm_2011_SW_PW*SUMIFS(TableVerdeelsleutelVkm[LPG],TableVerdeelsleutelVkm[Voertuigtype],"Lichte voertuigen")*SUMIFS(TableECFTransport[EnergieConsumptieFactor (PJ per km)],TableECFTransport[Index],CONCATENATE($A10,"_LPG_LPG"))</f>
        <v>5.8833593361412475E-4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0.13561276568936109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4.0970777370030735E-2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9.1317658898756211E-3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7.0240443307384298E-2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2.311813414788431E-5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4.104664965238038E-3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48.044585800948674</v>
      </c>
      <c r="C14" s="21"/>
      <c r="D14" s="21">
        <f t="shared" ref="D14:M14" si="0">((D5)*10^9/3600)+D12</f>
        <v>173.29306912231834</v>
      </c>
      <c r="E14" s="21">
        <f t="shared" si="0"/>
        <v>263.18576005989888</v>
      </c>
      <c r="F14" s="21"/>
      <c r="G14" s="21">
        <f t="shared" si="0"/>
        <v>89027.591866985458</v>
      </c>
      <c r="H14" s="21">
        <f t="shared" si="0"/>
        <v>19991.096347532886</v>
      </c>
      <c r="I14" s="21"/>
      <c r="J14" s="21"/>
      <c r="K14" s="21"/>
      <c r="L14" s="21"/>
      <c r="M14" s="21">
        <f t="shared" si="0"/>
        <v>5791.2113380868295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0.19432680171255315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9.3363506983026987</v>
      </c>
      <c r="C18" s="23"/>
      <c r="D18" s="23">
        <f t="shared" ref="D18:M18" si="1">D14*D16</f>
        <v>35.005199962708311</v>
      </c>
      <c r="E18" s="23">
        <f t="shared" si="1"/>
        <v>59.743167533597045</v>
      </c>
      <c r="F18" s="23"/>
      <c r="G18" s="23">
        <f t="shared" si="1"/>
        <v>23770.367028485118</v>
      </c>
      <c r="H18" s="23">
        <f t="shared" si="1"/>
        <v>4977.7829905356884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4.1519608057075628E-3</v>
      </c>
      <c r="H50" s="321">
        <f t="shared" si="2"/>
        <v>0</v>
      </c>
      <c r="I50" s="321">
        <f t="shared" si="2"/>
        <v>0</v>
      </c>
      <c r="J50" s="321">
        <f t="shared" si="2"/>
        <v>0</v>
      </c>
      <c r="K50" s="321">
        <f t="shared" si="2"/>
        <v>0</v>
      </c>
      <c r="L50" s="321">
        <f t="shared" si="2"/>
        <v>0</v>
      </c>
      <c r="M50" s="321">
        <f t="shared" si="2"/>
        <v>2.3581304461606705E-4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4.1519608057075628E-3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2.3581304461606705E-4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1153.3224460298786</v>
      </c>
      <c r="H54" s="21">
        <f t="shared" si="3"/>
        <v>0</v>
      </c>
      <c r="I54" s="21">
        <f t="shared" si="3"/>
        <v>0</v>
      </c>
      <c r="J54" s="21">
        <f t="shared" si="3"/>
        <v>0</v>
      </c>
      <c r="K54" s="21">
        <f t="shared" si="3"/>
        <v>0</v>
      </c>
      <c r="L54" s="21">
        <f t="shared" si="3"/>
        <v>0</v>
      </c>
      <c r="M54" s="21">
        <f t="shared" si="3"/>
        <v>65.503623504463064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0.19432680171255315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307.93709308997762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3152.5547746290181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3152.5547746290181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2019-08-12T08:32:49Z</dcterms:modified>
</cp:coreProperties>
</file>