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G19"/>
  <c r="F19"/>
  <c r="G89" i="14" s="1"/>
  <c r="G19" i="61" s="1"/>
  <c r="E19" i="18"/>
  <c r="F89" i="14" s="1"/>
  <c r="F19" i="61" s="1"/>
  <c r="D19" i="18"/>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K9"/>
  <c r="K10" s="1"/>
  <c r="G9"/>
  <c r="F9"/>
  <c r="F10" s="1"/>
  <c r="D9"/>
  <c r="C9"/>
  <c r="B9"/>
  <c r="K22"/>
  <c r="J22"/>
  <c r="I22"/>
  <c r="H22"/>
  <c r="K12"/>
  <c r="J12"/>
  <c r="I12"/>
  <c r="H12"/>
  <c r="W92"/>
  <c r="V92"/>
  <c r="U92"/>
  <c r="T92"/>
  <c r="S92"/>
  <c r="R92"/>
  <c r="Q92"/>
  <c r="N6" i="17" s="1"/>
  <c r="P92" i="18"/>
  <c r="O92"/>
  <c r="C6" i="17" s="1"/>
  <c r="N92" i="18"/>
  <c r="M92"/>
  <c r="W91"/>
  <c r="V91"/>
  <c r="U91"/>
  <c r="T91"/>
  <c r="S91"/>
  <c r="R91"/>
  <c r="Q91"/>
  <c r="P91"/>
  <c r="O91"/>
  <c r="N91"/>
  <c r="M91"/>
  <c r="W90"/>
  <c r="V90"/>
  <c r="U90"/>
  <c r="T90"/>
  <c r="S90"/>
  <c r="R90"/>
  <c r="Q90"/>
  <c r="P90"/>
  <c r="O90"/>
  <c r="N90"/>
  <c r="M90"/>
  <c r="W89"/>
  <c r="V89"/>
  <c r="U89"/>
  <c r="I9" s="1"/>
  <c r="T89"/>
  <c r="S89"/>
  <c r="E9" s="1"/>
  <c r="R89"/>
  <c r="Q89"/>
  <c r="J9" s="1"/>
  <c r="J77" i="14" s="1"/>
  <c r="J9" i="61" s="1"/>
  <c r="P89" i="18"/>
  <c r="O89"/>
  <c r="N89"/>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B17"/>
  <c r="G12"/>
  <c r="F12"/>
  <c r="E12"/>
  <c r="D12"/>
  <c r="C12"/>
  <c r="L10"/>
  <c r="G10"/>
  <c r="E77" i="14"/>
  <c r="E9" i="61" s="1"/>
  <c r="B8" i="18"/>
  <c r="B6"/>
  <c r="B74" i="14" s="1"/>
  <c r="B6" i="61" s="1"/>
  <c r="B5" i="18"/>
  <c r="B4"/>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O32"/>
  <c r="O30"/>
  <c r="O89" i="14"/>
  <c r="O19" i="61" s="1"/>
  <c r="M89" i="14"/>
  <c r="M19" i="61" s="1"/>
  <c r="L89" i="14"/>
  <c r="L19" i="61" s="1"/>
  <c r="K89" i="14"/>
  <c r="K19" i="61" s="1"/>
  <c r="J89" i="14"/>
  <c r="J19" i="61" s="1"/>
  <c r="H89" i="14"/>
  <c r="H19" i="61" s="1"/>
  <c r="E89" i="14"/>
  <c r="E19" i="61" s="1"/>
  <c r="K88" i="14"/>
  <c r="K18"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O19"/>
  <c r="M19"/>
  <c r="L19"/>
  <c r="L22" s="1"/>
  <c r="K19"/>
  <c r="K22" s="1"/>
  <c r="J19"/>
  <c r="I19"/>
  <c r="G19"/>
  <c r="F19"/>
  <c r="E19"/>
  <c r="D19"/>
  <c r="Q48"/>
  <c r="P48"/>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Q22"/>
  <c r="G22"/>
  <c r="R12"/>
  <c r="D5" i="17"/>
  <c r="Q14" i="48" l="1"/>
  <c r="P22" i="14"/>
  <c r="O10" i="61"/>
  <c r="G20"/>
  <c r="K20"/>
  <c r="Q11" i="48"/>
  <c r="B98" i="18"/>
  <c r="L90" i="14"/>
  <c r="L18" i="61"/>
  <c r="L20" s="1"/>
  <c r="E20"/>
  <c r="N77" i="14"/>
  <c r="P27" i="48"/>
  <c r="B10" i="18"/>
  <c r="M77" i="14"/>
  <c r="M9" i="61" s="1"/>
  <c r="H9" i="18"/>
  <c r="O9" s="1"/>
  <c r="K78" i="14"/>
  <c r="K8" i="61"/>
  <c r="K10" s="1"/>
  <c r="K90" i="14"/>
  <c r="O31" i="48"/>
  <c r="P31"/>
  <c r="L78" i="14"/>
  <c r="L8" i="61"/>
  <c r="L10" s="1"/>
  <c r="E90" i="14"/>
  <c r="E18" i="61"/>
  <c r="N20"/>
  <c r="B20" i="18"/>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H78" i="14"/>
  <c r="H9" i="61"/>
  <c r="H10" s="1"/>
  <c r="N78" i="14"/>
  <c r="N9" i="61"/>
  <c r="N10" s="1"/>
  <c r="G78" i="14"/>
  <c r="B88"/>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4" i="6" s="1"/>
  <c r="B8" i="61"/>
  <c r="B10" s="1"/>
  <c r="H14" i="15"/>
  <c r="H16" s="1"/>
  <c r="G14"/>
  <c r="G16" s="1"/>
  <c r="H10" i="14" l="1"/>
  <c r="H16" s="1"/>
  <c r="G5" i="48"/>
  <c r="H5"/>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4"/>
  <c r="K27"/>
  <c r="K26"/>
  <c r="K28"/>
  <c r="K22"/>
  <c r="K31"/>
  <c r="K29"/>
  <c r="K25"/>
  <c r="K30"/>
  <c r="O4"/>
  <c r="P11" i="14"/>
  <c r="I25" i="48"/>
  <c r="I24"/>
  <c r="I28"/>
  <c r="I30"/>
  <c r="I32"/>
  <c r="I22"/>
  <c r="I26"/>
  <c r="I29"/>
  <c r="I31"/>
  <c r="I27"/>
  <c r="D4"/>
  <c r="D22" s="1"/>
  <c r="E11" i="14"/>
  <c r="H29" i="48"/>
  <c r="H25"/>
  <c r="H32"/>
  <c r="H30"/>
  <c r="H28"/>
  <c r="H24"/>
  <c r="H26"/>
  <c r="H22"/>
  <c r="H23"/>
  <c r="D11" i="14"/>
  <c r="C4" i="48"/>
  <c r="B4"/>
  <c r="C11" i="14"/>
  <c r="N32" i="48"/>
  <c r="N30"/>
  <c r="N24"/>
  <c r="N31"/>
  <c r="N27"/>
  <c r="N28"/>
  <c r="N29"/>
  <c r="B8" i="9"/>
  <c r="B6" i="48" s="1"/>
  <c r="Q6" s="1"/>
  <c r="G23"/>
  <c r="G30"/>
  <c r="G32"/>
  <c r="G24"/>
  <c r="G25"/>
  <c r="G29"/>
  <c r="G22"/>
  <c r="G26"/>
  <c r="F30"/>
  <c r="F27"/>
  <c r="F32"/>
  <c r="F24"/>
  <c r="F31"/>
  <c r="F29"/>
  <c r="F28"/>
  <c r="B10"/>
  <c r="C19" i="14"/>
  <c r="E29" i="48"/>
  <c r="E31"/>
  <c r="E28"/>
  <c r="E32"/>
  <c r="E30"/>
  <c r="E24"/>
  <c r="M29"/>
  <c r="M32"/>
  <c r="M25"/>
  <c r="M26"/>
  <c r="M30"/>
  <c r="M24"/>
  <c r="M22"/>
  <c r="M23"/>
  <c r="K5"/>
  <c r="L10" i="14"/>
  <c r="L16" s="1"/>
  <c r="L27" s="1"/>
  <c r="D30" i="48"/>
  <c r="D28"/>
  <c r="D29"/>
  <c r="D32"/>
  <c r="D24"/>
  <c r="D31"/>
  <c r="L29"/>
  <c r="L32"/>
  <c r="L30"/>
  <c r="L22"/>
  <c r="L28"/>
  <c r="L24"/>
  <c r="L31"/>
  <c r="L27"/>
  <c r="Q10" i="14"/>
  <c r="P5" i="48"/>
  <c r="P23" s="1"/>
  <c r="C24" i="14"/>
  <c r="C26" s="1"/>
  <c r="B7" i="48"/>
  <c r="J29"/>
  <c r="J24"/>
  <c r="J30"/>
  <c r="J32"/>
  <c r="J28"/>
  <c r="J31"/>
  <c r="J27"/>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B9"/>
  <c r="C20" i="14"/>
  <c r="C22" s="1"/>
  <c r="J7" i="48"/>
  <c r="J25" s="1"/>
  <c r="K24" i="14"/>
  <c r="K26" s="1"/>
  <c r="K23" i="48"/>
  <c r="K33" s="1"/>
  <c r="K15"/>
  <c r="G11" i="14"/>
  <c r="F4" i="48"/>
  <c r="F22" s="1"/>
  <c r="H18" i="14"/>
  <c r="G13" i="48"/>
  <c r="G31" s="1"/>
  <c r="P22"/>
  <c r="P33" s="1"/>
  <c r="L46" i="14"/>
  <c r="L61" s="1"/>
  <c r="L63" s="1"/>
  <c r="F20"/>
  <c r="F22" s="1"/>
  <c r="E9" i="48"/>
  <c r="E27" s="1"/>
  <c r="Q13" i="14"/>
  <c r="Q16" s="1"/>
  <c r="Q27" s="1"/>
  <c r="P8" i="48"/>
  <c r="P26" s="1"/>
  <c r="D9"/>
  <c r="D27" s="1"/>
  <c r="E20" i="14"/>
  <c r="E22" s="1"/>
  <c r="O5" i="48"/>
  <c r="O23" s="1"/>
  <c r="P10" i="14"/>
  <c r="I5" i="48"/>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P16" s="1"/>
  <c r="P27" s="1"/>
  <c r="O8" i="48"/>
  <c r="J4"/>
  <c r="K11" i="14"/>
  <c r="O11"/>
  <c r="N4" i="48"/>
  <c r="N22" s="1"/>
  <c r="Q63" i="14"/>
  <c r="M10" i="48"/>
  <c r="M28" s="1"/>
  <c r="N19" i="14"/>
  <c r="I23" i="48"/>
  <c r="I33" s="1"/>
  <c r="I15"/>
  <c r="P46" i="14"/>
  <c r="P61" s="1"/>
  <c r="H14" i="22"/>
  <c r="I20" i="14" s="1"/>
  <c r="I22" s="1"/>
  <c r="I27" s="1"/>
  <c r="P15" i="48"/>
  <c r="H19" i="14"/>
  <c r="G10" i="48"/>
  <c r="E7"/>
  <c r="E25" s="1"/>
  <c r="F24" i="14"/>
  <c r="F26"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P63" i="14"/>
  <c r="G9" i="48"/>
  <c r="H20" i="14"/>
  <c r="J5" i="48"/>
  <c r="J23" s="1"/>
  <c r="K10" i="14"/>
  <c r="R11"/>
  <c r="F10"/>
  <c r="E5" i="48"/>
  <c r="E23" s="1"/>
  <c r="G28"/>
  <c r="Q10"/>
  <c r="J22"/>
  <c r="H22" i="14"/>
  <c r="H27" s="1"/>
  <c r="R19"/>
  <c r="O26" i="48"/>
  <c r="O33" s="1"/>
  <c r="O15"/>
  <c r="Q7"/>
  <c r="N52" i="14"/>
  <c r="N61" s="1"/>
  <c r="M15" i="48"/>
  <c r="M27"/>
  <c r="M33" s="1"/>
  <c r="R22" i="14"/>
  <c r="Q9" i="48"/>
  <c r="H15"/>
  <c r="H27"/>
  <c r="H33" s="1"/>
  <c r="N63" i="14"/>
  <c r="R20"/>
  <c r="R24"/>
  <c r="R26" s="1"/>
  <c r="N18" i="16"/>
  <c r="E20" i="15"/>
  <c r="F40" i="14" s="1"/>
  <c r="F18" i="16"/>
  <c r="J18"/>
  <c r="E18"/>
  <c r="G18" i="22"/>
  <c r="H50" i="14" s="1"/>
  <c r="H52" s="1"/>
  <c r="H61" s="1"/>
  <c r="H18" i="22"/>
  <c r="I50" i="14" s="1"/>
  <c r="I52" s="1"/>
  <c r="I61" s="1"/>
  <c r="I63" s="1"/>
  <c r="F46" l="1"/>
  <c r="F61" s="1"/>
  <c r="J8" i="48"/>
  <c r="J26" s="1"/>
  <c r="K13" i="14"/>
  <c r="K16" s="1"/>
  <c r="K27" s="1"/>
  <c r="K63" s="1"/>
  <c r="H63"/>
  <c r="F13"/>
  <c r="E8" i="48"/>
  <c r="G27"/>
  <c r="G33" s="1"/>
  <c r="G15"/>
  <c r="F16" i="14"/>
  <c r="F27" s="1"/>
  <c r="J33" i="48"/>
  <c r="N8"/>
  <c r="N26" s="1"/>
  <c r="O13" i="14"/>
  <c r="F8" i="48"/>
  <c r="G13" i="14"/>
  <c r="R13" s="1"/>
  <c r="E22" i="16"/>
  <c r="F43" i="14" s="1"/>
  <c r="F22" i="16"/>
  <c r="G43" i="14" s="1"/>
  <c r="N22" i="16"/>
  <c r="O43" i="14" s="1"/>
  <c r="J22" i="16"/>
  <c r="K43" i="14" s="1"/>
  <c r="K46" s="1"/>
  <c r="K61" s="1"/>
  <c r="J15" i="48" l="1"/>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<sst xmlns="http://schemas.openxmlformats.org/spreadsheetml/2006/main" count="2383" uniqueCount="881">
  <si>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</si>
  <si>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</si>
  <si>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</si>
  <si>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</si>
  <si>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</si>
  <si>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</si>
  <si>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</si>
  <si>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</si>
  <si>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</si>
  <si>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</si>
  <si>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</si>
  <si>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</si>
  <si>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</si>
  <si>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</si>
  <si>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</si>
  <si>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</si>
  <si>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</si>
  <si>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</si>
  <si>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</si>
  <si>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</si>
  <si>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</si>
  <si>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</si>
  <si>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</si>
  <si>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</si>
  <si>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</si>
  <si>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</si>
  <si>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</si>
  <si>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</si>
  <si>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</si>
  <si>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</si>
  <si>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</si>
  <si>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</si>
  <si>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</si>
  <si>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</si>
  <si>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</si>
  <si>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</si>
  <si>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</si>
  <si>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</si>
  <si>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</si>
  <si>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</si>
  <si>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</si>
  <si>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</si>
  <si>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</si>
  <si>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</si>
  <si>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</si>
  <si>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</si>
  <si>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</si>
  <si>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</si>
  <si>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</si>
  <si>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</si>
  <si>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</si>
  <si>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</si>
  <si>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</si>
  <si>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</si>
  <si>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</si>
  <si>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</si>
  <si>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</si>
  <si>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</si>
  <si>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</si>
  <si>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</si>
  <si>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</si>
  <si>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</si>
  <si>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</si>
  <si>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</si>
  <si>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</si>
  <si>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</si>
  <si>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</si>
  <si>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</si>
  <si>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</si>
  <si>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</si>
  <si>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</si>
  <si>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</si>
  <si>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</si>
  <si>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</si>
  <si>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</si>
  <si>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</si>
  <si>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</si>
  <si>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</si>
  <si>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</si>
  <si>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</si>
  <si>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</si>
  <si>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</si>
  <si>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</si>
  <si>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</si>
  <si>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</si>
  <si>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</si>
  <si>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</si>
  <si>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</si>
  <si>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</si>
  <si>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</si>
  <si>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</si>
  <si>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</si>
  <si>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</si>
  <si>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</si>
  <si>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</si>
  <si>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</si>
  <si>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</si>
  <si>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</si>
  <si>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</si>
  <si>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</si>
  <si>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</si>
  <si>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</si>
  <si>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</si>
  <si>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</si>
  <si>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</si>
  <si>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</si>
  <si>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</si>
  <si>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</si>
  <si>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</si>
  <si>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</si>
  <si>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</si>
  <si>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</si>
  <si>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</si>
  <si>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</si>
  <si>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</si>
  <si>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</si>
  <si>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</si>
  <si>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</si>
  <si>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</si>
  <si>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</si>
  <si>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</si>
  <si>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</si>
  <si>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</si>
  <si>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</si>
  <si>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</si>
  <si>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</si>
  <si>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</si>
  <si>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</si>
  <si>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</si>
  <si>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</si>
  <si>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</si>
  <si>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</si>
  <si>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</si>
  <si>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</si>
  <si>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</si>
  <si>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</si>
  <si>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</si>
  <si>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</si>
  <si>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</si>
  <si>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</si>
  <si>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</si>
  <si>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</si>
  <si>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</si>
  <si>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</si>
  <si>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</si>
  <si>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</si>
  <si>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</si>
  <si>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</si>
  <si>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</si>
  <si>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</si>
  <si>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</si>
  <si>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</si>
  <si>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</si>
  <si>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</si>
  <si>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</si>
  <si>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</si>
  <si>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</si>
  <si>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</si>
  <si>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</si>
  <si>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</si>
  <si>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</si>
  <si>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</si>
  <si>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</si>
  <si>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</si>
  <si>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</si>
  <si>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</si>
  <si>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</si>
  <si>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</si>
  <si>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</si>
  <si>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</si>
  <si>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</si>
  <si>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</si>
  <si>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</si>
  <si>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</si>
  <si>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</si>
  <si>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</si>
  <si>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</si>
  <si>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</si>
  <si>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</si>
  <si>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</si>
  <si>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</si>
  <si>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</si>
  <si>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</si>
  <si>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</si>
  <si>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</si>
  <si>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</si>
  <si>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</si>
  <si>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</si>
  <si>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</si>
  <si>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</si>
  <si>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</si>
  <si>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</si>
  <si>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</si>
  <si>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</si>
  <si>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</si>
  <si>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</si>
  <si>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</si>
  <si>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</si>
  <si>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</si>
  <si>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</si>
  <si>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</si>
  <si>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</si>
  <si>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</si>
  <si>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</si>
  <si>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</si>
  <si>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</si>
  <si>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</si>
  <si>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</si>
  <si>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</si>
  <si>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</si>
  <si>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</si>
  <si>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</si>
  <si>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</si>
  <si>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</si>
  <si>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</si>
  <si>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</si>
  <si>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</si>
  <si>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</si>
  <si>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</si>
  <si>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</si>
  <si>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</si>
  <si>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</si>
  <si>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</si>
  <si>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</si>
  <si>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</si>
  <si>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</si>
  <si>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</si>
  <si>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</si>
  <si>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</si>
  <si>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</si>
  <si>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</si>
  <si>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</si>
  <si>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</si>
  <si>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</si>
  <si>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</si>
  <si>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</si>
  <si>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</si>
  <si>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</si>
  <si>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</si>
  <si>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</si>
  <si>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</si>
  <si>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</si>
  <si>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</si>
  <si>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</si>
  <si>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</si>
  <si>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</si>
  <si>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</si>
  <si>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</si>
  <si>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</si>
  <si>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</si>
  <si>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</si>
  <si>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</si>
  <si>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</si>
  <si>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</si>
  <si>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</si>
  <si>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</si>
  <si>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</si>
  <si>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</si>
  <si>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</si>
  <si>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</si>
  <si>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</si>
  <si>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</si>
  <si>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</si>
  <si>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</si>
  <si>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</si>
  <si>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</si>
  <si>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</si>
  <si>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</si>
  <si>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</si>
  <si>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</si>
  <si>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</si>
  <si>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</si>
  <si>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</si>
  <si>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</si>
  <si>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</si>
  <si>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</si>
  <si>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</si>
  <si>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</si>
  <si>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</si>
  <si>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</si>
  <si>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</si>
  <si>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</si>
  <si>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</si>
  <si>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</si>
  <si>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</si>
  <si>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</si>
  <si>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</si>
  <si>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</si>
  <si>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</si>
  <si>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</si>
  <si>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</si>
  <si>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</si>
  <si>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</si>
  <si>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</si>
  <si>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</si>
  <si>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</si>
  <si>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</si>
  <si>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</si>
  <si>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</si>
  <si>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</si>
  <si>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</si>
  <si>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</si>
  <si>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</si>
  <si>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</si>
  <si>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</si>
  <si>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</si>
  <si>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</si>
  <si>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</si>
  <si>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</si>
  <si>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</si>
  <si>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</si>
  <si>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</si>
  <si>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</si>
  <si>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</si>
  <si>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</si>
  <si>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</si>
  <si>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</si>
  <si>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</si>
  <si>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</si>
  <si>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</si>
  <si>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</si>
  <si>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</si>
  <si>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</si>
  <si>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</si>
  <si>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</si>
  <si>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</si>
  <si>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</si>
  <si>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</si>
  <si>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</si>
  <si>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</si>
  <si>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</si>
  <si>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</si>
  <si>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</si>
  <si>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</si>
  <si>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</si>
  <si>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</si>
  <si>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</si>
  <si>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</si>
  <si>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</si>
  <si>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</si>
  <si>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</si>
  <si>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</si>
  <si>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</si>
  <si>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</si>
  <si>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</si>
  <si>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</si>
  <si>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</si>
  <si>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</si>
  <si>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</si>
  <si>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</si>
  <si>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</si>
  <si>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</si>
  <si>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</si>
  <si>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</si>
  <si>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</si>
  <si>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</si>
  <si>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</si>
  <si>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</si>
  <si>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</si>
  <si>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</si>
  <si>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</si>
  <si>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</si>
  <si>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</si>
  <si>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</si>
  <si>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</si>
  <si>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</si>
  <si>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</si>
  <si>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</si>
  <si>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</si>
  <si>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</si>
  <si>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</si>
  <si>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</si>
  <si>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</si>
  <si>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</si>
  <si>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</si>
  <si>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</si>
  <si>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</si>
  <si>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</si>
  <si>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</si>
  <si>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</si>
  <si>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</si>
  <si>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</si>
  <si>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</si>
  <si>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</si>
  <si>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</si>
  <si>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</si>
  <si>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</si>
  <si>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</si>
  <si>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</si>
  <si>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</si>
  <si>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</si>
  <si>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</si>
  <si>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</si>
  <si>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</si>
  <si>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</si>
  <si>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</si>
  <si>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</si>
  <si>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</si>
  <si>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</si>
  <si>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</si>
  <si>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</si>
  <si>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</si>
  <si>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</si>
  <si>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</si>
  <si>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</si>
  <si>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</si>
  <si>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</si>
  <si>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</si>
  <si>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</si>
  <si>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</si>
  <si>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</si>
  <si>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</si>
  <si>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</si>
  <si>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</si>
  <si>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</si>
  <si>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</si>
  <si>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</si>
  <si>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</si>
  <si>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</si>
  <si>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</si>
  <si>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</si>
  <si>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</si>
  <si>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</si>
  <si>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</si>
  <si>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</si>
  <si>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</si>
  <si>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</si>
  <si>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</si>
  <si>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</si>
  <si>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</si>
  <si>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</si>
  <si>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</si>
  <si>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</si>
  <si>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</si>
  <si>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</si>
  <si>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</si>
  <si>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</si>
  <si>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</si>
  <si>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</si>
  <si>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</si>
  <si>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</si>
  <si>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</si>
  <si>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</si>
  <si>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</si>
  <si>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</si>
  <si>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</si>
  <si>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</si>
  <si>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</si>
  <si>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</si>
  <si>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</si>
  <si>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</si>
  <si>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</si>
  <si>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</si>
  <si>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</si>
  <si>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</si>
  <si>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</si>
  <si>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</si>
  <si>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</si>
  <si>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</si>
  <si>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</si>
  <si>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</si>
  <si>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</si>
  <si>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</si>
  <si>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</si>
  <si>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</si>
  <si>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</si>
  <si>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</si>
  <si>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</si>
  <si>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</si>
  <si>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</si>
  <si>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</si>
  <si>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</si>
  <si>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</si>
  <si>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</si>
  <si>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</si>
  <si>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</si>
  <si>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</si>
  <si>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</si>
  <si>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</si>
  <si>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</si>
  <si>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</si>
  <si>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</si>
  <si>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</si>
  <si>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</si>
  <si>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</si>
  <si>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</si>
  <si>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</si>
  <si>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</si>
  <si>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</si>
  <si>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</si>
  <si>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</si>
  <si>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</si>
  <si>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</si>
  <si>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</si>
  <si>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</si>
  <si>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</si>
  <si>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</si>
  <si>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</si>
  <si>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</si>
  <si>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</si>
  <si>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</si>
  <si>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</si>
  <si>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</si>
  <si>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</si>
  <si>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</si>
  <si>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</si>
  <si>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</si>
  <si>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</si>
  <si>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</si>
  <si>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</si>
  <si>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</si>
  <si>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</si>
  <si>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</si>
  <si>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</si>
  <si>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</si>
  <si>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</si>
  <si>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</si>
  <si>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</si>
  <si>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</si>
  <si>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</si>
  <si>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</si>
  <si>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</si>
  <si>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</si>
  <si>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</si>
  <si>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</si>
  <si>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</si>
  <si>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</si>
  <si>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</si>
  <si>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</si>
  <si>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</si>
  <si>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</si>
  <si>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</si>
  <si>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</si>
  <si>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</si>
  <si>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</si>
  <si>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</si>
  <si>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</si>
  <si>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</si>
  <si>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</si>
  <si>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</si>
  <si>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</si>
  <si>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</si>
  <si>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</si>
  <si>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</si>
  <si>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</si>
  <si>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</si>
  <si>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</si>
  <si>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</si>
  <si>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</si>
  <si>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</si>
  <si>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</si>
  <si>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</si>
  <si>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</si>
  <si>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</si>
  <si>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</si>
  <si>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</si>
  <si>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</si>
  <si>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</si>
  <si>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</si>
  <si>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</si>
  <si>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</si>
  <si>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</si>
  <si>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</si>
  <si>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</si>
  <si>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</si>
  <si>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</si>
  <si>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</si>
  <si>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</si>
  <si>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</si>
  <si>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</si>
  <si>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</si>
  <si>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</si>
  <si>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</si>
  <si>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</si>
  <si>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</si>
  <si>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</si>
  <si>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</si>
  <si>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</si>
  <si>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</si>
  <si>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</si>
  <si>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</si>
  <si>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</si>
  <si>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</si>
  <si>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</si>
  <si>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</si>
  <si>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</si>
  <si>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</si>
  <si>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</si>
  <si>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</si>
  <si>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</si>
  <si>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</si>
  <si>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</si>
  <si>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</si>
  <si>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</si>
  <si>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</si>
  <si>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</si>
  <si>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</si>
  <si>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</si>
  <si>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</si>
  <si>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</si>
  <si>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</si>
  <si>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</si>
  <si>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</si>
  <si>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</si>
  <si>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</si>
  <si>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</si>
  <si>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</si>
  <si>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</si>
  <si>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</si>
  <si>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</si>
  <si>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</si>
  <si>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</si>
  <si>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</si>
  <si>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</si>
  <si>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</si>
  <si>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</si>
  <si>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</si>
  <si>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</si>
  <si>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</si>
  <si>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</si>
  <si>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</si>
  <si>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</si>
  <si>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</si>
  <si>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</si>
  <si>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</si>
  <si>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</si>
  <si>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</si>
  <si>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</si>
  <si>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</si>
  <si>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</si>
  <si>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</si>
  <si>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</si>
  <si>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</si>
  <si>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</si>
  <si>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</si>
  <si>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</si>
  <si>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</si>
  <si>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</si>
  <si>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</si>
  <si>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</si>
  <si>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</si>
  <si>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</si>
  <si>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</si>
  <si>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</si>
  <si>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</si>
  <si>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</si>
  <si>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</si>
  <si>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</si>
  <si>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</si>
  <si>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</si>
  <si>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</si>
  <si>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</si>
  <si>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</si>
  <si>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</si>
  <si>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</si>
  <si>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</si>
  <si>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</si>
  <si>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</si>
  <si>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</si>
  <si>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</si>
  <si>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</si>
  <si>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</si>
  <si>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</si>
  <si>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</si>
  <si>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</si>
  <si>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</si>
  <si>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</si>
  <si>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</si>
  <si>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</si>
  <si>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</si>
  <si>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</si>
  <si>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</si>
  <si>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</si>
  <si>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</si>
  <si>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</si>
  <si>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</si>
  <si>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</si>
  <si>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</si>
  <si>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</si>
  <si>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</si>
  <si>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</si>
  <si>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</si>
  <si>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</si>
  <si>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</si>
  <si>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</si>
  <si>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</si>
  <si>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</si>
  <si>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</si>
  <si>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</si>
  <si>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</si>
  <si>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</si>
  <si>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</si>
  <si>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</si>
  <si>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</si>
  <si>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</si>
  <si>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</si>
  <si>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</si>
  <si>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</si>
  <si>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</si>
  <si>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</si>
  <si>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</si>
  <si>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</si>
  <si>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</si>
  <si>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</si>
  <si>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</si>
  <si>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</si>
  <si>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</si>
  <si>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</si>
  <si>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</si>
  <si>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</si>
  <si>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</si>
  <si>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</si>
  <si>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</si>
  <si>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</si>
  <si>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</si>
  <si>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</si>
  <si>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</si>
  <si>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</si>
  <si>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</si>
  <si>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</si>
  <si>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</si>
  <si>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</si>
  <si>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</si>
  <si>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</si>
  <si>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</si>
  <si>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</si>
  <si>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</si>
  <si>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</si>
  <si>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</si>
  <si>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</si>
  <si>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</si>
  <si>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</si>
  <si>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</si>
  <si>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</si>
  <si>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</si>
  <si>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</si>
  <si>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</si>
  <si>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</si>
  <si>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</si>
  <si>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</si>
  <si>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</si>
  <si>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</si>
  <si>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</si>
  <si>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</si>
  <si>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</si>
  <si>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</si>
  <si>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</si>
  <si>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</si>
  <si>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</si>
  <si>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</si>
  <si>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</si>
  <si>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</si>
  <si>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</si>
  <si>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</si>
  <si>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</si>
  <si>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</si>
  <si>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</si>
  <si>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</si>
  <si>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</si>
  <si>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</si>
  <si>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</si>
  <si>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</si>
  <si>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</si>
  <si>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</si>
  <si>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</si>
  <si>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</si>
  <si>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</si>
  <si>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</si>
  <si>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</si>
  <si>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</si>
  <si>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</si>
  <si>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</si>
  <si>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</si>
  <si>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</si>
  <si>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</si>
  <si>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</si>
  <si>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</si>
  <si>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</si>
  <si>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</si>
  <si>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</si>
  <si>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</si>
  <si>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</si>
  <si>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</si>
  <si>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</si>
  <si>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</si>
  <si>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</si>
  <si>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</si>
  <si>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</si>
  <si>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</si>
  <si>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</si>
  <si>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</si>
  <si>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</si>
  <si>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</si>
  <si>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</si>
  <si>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</si>
  <si>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</si>
  <si>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</si>
  <si>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</si>
  <si>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</si>
  <si>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</si>
  <si>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</si>
  <si>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</si>
  <si>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</si>
  <si>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</si>
  <si>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</si>
  <si>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</si>
  <si>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</si>
  <si>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</si>
  <si>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</si>
  <si>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</si>
  <si>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</si>
  <si>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</si>
  <si>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</si>
  <si>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</si>
  <si>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</si>
  <si>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</si>
  <si>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</si>
  <si>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</si>
  <si>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</si>
  <si>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</si>
  <si>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</si>
  <si>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</si>
  <si>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</si>
  <si>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</si>
  <si>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</si>
  <si>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</si>
  <si>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</si>
  <si>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</si>
  <si>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</si>
  <si>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</si>
  <si>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</si>
  <si>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</si>
  <si>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</si>
  <si>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</si>
  <si>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</si>
  <si>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</si>
  <si>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</si>
  <si>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</si>
  <si>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</si>
  <si>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</si>
  <si>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</si>
  <si>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</si>
  <si>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</si>
  <si>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</si>
  <si>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</si>
  <si>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</si>
  <si>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</si>
  <si>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</si>
  <si>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</si>
  <si>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</si>
  <si>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</si>
  <si>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</si>
  <si>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</si>
  <si>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</si>
  <si>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</si>
  <si>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</si>
  <si>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</si>
  <si>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</si>
  <si>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</si>
  <si>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</si>
  <si>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</si>
  <si>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</si>
  <si>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</si>
  <si>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</si>
  <si>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</si>
  <si>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</si>
  <si>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</si>
  <si>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</si>
  <si>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</si>
  <si>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</si>
  <si>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</si>
  <si>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</si>
  <si>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</si>
  <si>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24028</t>
  </si>
  <si>
    <t>GEETBETS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</si>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</sst>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67515.700480697342</c:v>
                </c:pt>
                <c:pt idx="1">
                  <c:v>8519.1369681925353</c:v>
                </c:pt>
                <c:pt idx="2">
                  <c:v>375.87799999999999</c:v>
                </c:pt>
                <c:pt idx="3">
                  <c:v>15257.416486750873</c:v>
                </c:pt>
                <c:pt idx="4">
                  <c:v>1340.6680117229571</c:v>
                </c:pt>
                <c:pt idx="5">
                  <c:v>29473.581379575022</c:v>
                </c:pt>
                <c:pt idx="6">
                  <c:v>541.1281572910359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67515.700480697342</c:v>
                </c:pt>
                <c:pt idx="1">
                  <c:v>8519.1369681925353</c:v>
                </c:pt>
                <c:pt idx="2">
                  <c:v>375.87799999999999</c:v>
                </c:pt>
                <c:pt idx="3">
                  <c:v>15257.416486750873</c:v>
                </c:pt>
                <c:pt idx="4">
                  <c:v>1340.6680117229571</c:v>
                </c:pt>
                <c:pt idx="5">
                  <c:v>29473.581379575022</c:v>
                </c:pt>
                <c:pt idx="6">
                  <c:v>541.1281572910359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15148.26965130088</c:v>
                </c:pt>
                <c:pt idx="2">
                  <c:v>1604.8138085289966</c:v>
                </c:pt>
                <c:pt idx="3">
                  <c:v>68.73699555023812</c:v>
                </c:pt>
                <c:pt idx="4">
                  <c:v>3863.6687861910523</c:v>
                </c:pt>
                <c:pt idx="5">
                  <c:v>257.53049121385646</c:v>
                </c:pt>
                <c:pt idx="6">
                  <c:v>7361.7735310108164</c:v>
                </c:pt>
                <c:pt idx="7">
                  <c:v>136.71633378255592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15148.26965130088</c:v>
                </c:pt>
                <c:pt idx="2">
                  <c:v>1604.8138085289966</c:v>
                </c:pt>
                <c:pt idx="3">
                  <c:v>68.73699555023812</c:v>
                </c:pt>
                <c:pt idx="4">
                  <c:v>3863.6687861910523</c:v>
                </c:pt>
                <c:pt idx="5">
                  <c:v>257.53049121385646</c:v>
                </c:pt>
                <c:pt idx="6">
                  <c:v>7361.7735310108164</c:v>
                </c:pt>
                <c:pt idx="7">
                  <c:v>136.71633378255592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0.18287049401730912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0.18287049401730912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2440</v>
      </c>
      <c r="C9" s="342">
        <v>2473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2256.59</v>
      </c>
    </row>
    <row r="15" spans="1:6">
      <c r="A15" s="348" t="s">
        <v>184</v>
      </c>
      <c r="B15" s="334">
        <v>2575</v>
      </c>
    </row>
    <row r="16" spans="1:6">
      <c r="A16" s="348" t="s">
        <v>6</v>
      </c>
      <c r="B16" s="334">
        <v>425</v>
      </c>
    </row>
    <row r="17" spans="1:6">
      <c r="A17" s="348" t="s">
        <v>7</v>
      </c>
      <c r="B17" s="334">
        <v>565</v>
      </c>
    </row>
    <row r="18" spans="1:6">
      <c r="A18" s="348" t="s">
        <v>8</v>
      </c>
      <c r="B18" s="334">
        <v>723</v>
      </c>
    </row>
    <row r="19" spans="1:6">
      <c r="A19" s="348" t="s">
        <v>9</v>
      </c>
      <c r="B19" s="334">
        <v>565</v>
      </c>
    </row>
    <row r="20" spans="1:6">
      <c r="A20" s="348" t="s">
        <v>10</v>
      </c>
      <c r="B20" s="334">
        <v>358</v>
      </c>
    </row>
    <row r="21" spans="1:6">
      <c r="A21" s="348" t="s">
        <v>11</v>
      </c>
      <c r="B21" s="334">
        <v>0</v>
      </c>
    </row>
    <row r="22" spans="1:6">
      <c r="A22" s="348" t="s">
        <v>12</v>
      </c>
      <c r="B22" s="334">
        <v>654</v>
      </c>
    </row>
    <row r="23" spans="1:6">
      <c r="A23" s="348" t="s">
        <v>13</v>
      </c>
      <c r="B23" s="334">
        <v>0</v>
      </c>
    </row>
    <row r="24" spans="1:6">
      <c r="A24" s="348" t="s">
        <v>14</v>
      </c>
      <c r="B24" s="334">
        <v>0</v>
      </c>
    </row>
    <row r="25" spans="1:6">
      <c r="A25" s="348" t="s">
        <v>15</v>
      </c>
      <c r="B25" s="334">
        <v>0</v>
      </c>
    </row>
    <row r="26" spans="1:6">
      <c r="A26" s="348" t="s">
        <v>16</v>
      </c>
      <c r="B26" s="334">
        <v>96</v>
      </c>
    </row>
    <row r="27" spans="1:6">
      <c r="A27" s="348" t="s">
        <v>17</v>
      </c>
      <c r="B27" s="334">
        <v>0</v>
      </c>
    </row>
    <row r="28" spans="1:6" s="356" customFormat="1">
      <c r="A28" s="355" t="s">
        <v>18</v>
      </c>
      <c r="B28" s="355">
        <v>49533</v>
      </c>
    </row>
    <row r="29" spans="1:6">
      <c r="A29" s="355" t="s">
        <v>744</v>
      </c>
      <c r="B29" s="355">
        <v>89</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463</v>
      </c>
      <c r="D39" s="334">
        <v>7623742.3499999996</v>
      </c>
      <c r="E39" s="334">
        <v>2343</v>
      </c>
      <c r="F39" s="334">
        <v>8739719.4000000004</v>
      </c>
    </row>
    <row r="40" spans="1:6">
      <c r="A40" s="348" t="s">
        <v>30</v>
      </c>
      <c r="B40" s="348" t="s">
        <v>29</v>
      </c>
      <c r="C40" s="334">
        <v>0</v>
      </c>
      <c r="D40" s="334">
        <v>0</v>
      </c>
      <c r="E40" s="334">
        <v>0</v>
      </c>
      <c r="F40" s="334">
        <v>0</v>
      </c>
    </row>
    <row r="41" spans="1:6">
      <c r="A41" s="348" t="s">
        <v>32</v>
      </c>
      <c r="B41" s="348" t="s">
        <v>33</v>
      </c>
      <c r="C41" s="334">
        <v>11</v>
      </c>
      <c r="D41" s="334">
        <v>178405</v>
      </c>
      <c r="E41" s="334">
        <v>68</v>
      </c>
      <c r="F41" s="334">
        <v>449153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46731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17911</v>
      </c>
      <c r="E48" s="334">
        <v>2</v>
      </c>
      <c r="F48" s="334">
        <v>14581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50692</v>
      </c>
      <c r="E51" s="334">
        <v>101</v>
      </c>
      <c r="F51" s="334">
        <v>2848515.4739999999</v>
      </c>
    </row>
    <row r="52" spans="1:6">
      <c r="A52" s="348" t="s">
        <v>42</v>
      </c>
      <c r="B52" s="348" t="s">
        <v>29</v>
      </c>
      <c r="C52" s="334">
        <v>0</v>
      </c>
      <c r="D52" s="334">
        <v>0</v>
      </c>
      <c r="E52" s="334">
        <v>0</v>
      </c>
      <c r="F52" s="334">
        <v>0</v>
      </c>
    </row>
    <row r="53" spans="1:6">
      <c r="A53" s="348" t="s">
        <v>44</v>
      </c>
      <c r="B53" s="348" t="s">
        <v>45</v>
      </c>
      <c r="C53" s="334">
        <v>15</v>
      </c>
      <c r="D53" s="334">
        <v>448853</v>
      </c>
      <c r="E53" s="334">
        <v>42</v>
      </c>
      <c r="F53" s="334">
        <v>393312.8</v>
      </c>
    </row>
    <row r="54" spans="1:6">
      <c r="A54" s="348" t="s">
        <v>46</v>
      </c>
      <c r="B54" s="348" t="s">
        <v>47</v>
      </c>
      <c r="C54" s="334">
        <v>0</v>
      </c>
      <c r="D54" s="334">
        <v>0</v>
      </c>
      <c r="E54" s="334">
        <v>1</v>
      </c>
      <c r="F54" s="334">
        <v>375878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148652</v>
      </c>
      <c r="E57" s="334">
        <v>29</v>
      </c>
      <c r="F57" s="334">
        <v>432286.1</v>
      </c>
    </row>
    <row r="58" spans="1:6">
      <c r="A58" s="348" t="s">
        <v>49</v>
      </c>
      <c r="B58" s="348" t="s">
        <v>51</v>
      </c>
      <c r="C58" s="334">
        <v>3</v>
      </c>
      <c r="D58" s="334">
        <v>778991</v>
      </c>
      <c r="E58" s="334">
        <v>8</v>
      </c>
      <c r="F58" s="334">
        <v>449478</v>
      </c>
    </row>
    <row r="59" spans="1:6">
      <c r="A59" s="348" t="s">
        <v>49</v>
      </c>
      <c r="B59" s="348" t="s">
        <v>52</v>
      </c>
      <c r="C59" s="334">
        <v>6</v>
      </c>
      <c r="D59" s="334">
        <v>143180</v>
      </c>
      <c r="E59" s="334">
        <v>57</v>
      </c>
      <c r="F59" s="334">
        <v>2566547.7999999998</v>
      </c>
    </row>
    <row r="60" spans="1:6">
      <c r="A60" s="348" t="s">
        <v>49</v>
      </c>
      <c r="B60" s="348" t="s">
        <v>53</v>
      </c>
      <c r="C60" s="334">
        <v>8</v>
      </c>
      <c r="D60" s="334">
        <v>566800</v>
      </c>
      <c r="E60" s="334">
        <v>26</v>
      </c>
      <c r="F60" s="334">
        <v>649428</v>
      </c>
    </row>
    <row r="61" spans="1:6">
      <c r="A61" s="348" t="s">
        <v>49</v>
      </c>
      <c r="B61" s="348" t="s">
        <v>54</v>
      </c>
      <c r="C61" s="334">
        <v>17</v>
      </c>
      <c r="D61" s="334">
        <v>538452.4</v>
      </c>
      <c r="E61" s="334">
        <v>86</v>
      </c>
      <c r="F61" s="334">
        <v>830230.1</v>
      </c>
    </row>
    <row r="62" spans="1:6">
      <c r="A62" s="348" t="s">
        <v>49</v>
      </c>
      <c r="B62" s="348" t="s">
        <v>55</v>
      </c>
      <c r="C62" s="334">
        <v>0</v>
      </c>
      <c r="D62" s="334">
        <v>0</v>
      </c>
      <c r="E62" s="334">
        <v>4</v>
      </c>
      <c r="F62" s="334">
        <v>85864</v>
      </c>
    </row>
    <row r="63" spans="1:6">
      <c r="A63" s="348" t="s">
        <v>49</v>
      </c>
      <c r="B63" s="348" t="s">
        <v>29</v>
      </c>
      <c r="C63" s="334">
        <v>2</v>
      </c>
      <c r="D63" s="334">
        <v>156283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4</v>
      </c>
      <c r="F65" s="334">
        <v>19967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7753389</v>
      </c>
      <c r="E73" s="475">
        <v>7875844.8353397381</v>
      </c>
    </row>
    <row r="74" spans="1:6">
      <c r="A74" s="348" t="s">
        <v>64</v>
      </c>
      <c r="B74" s="348" t="s">
        <v>657</v>
      </c>
      <c r="C74" s="1295" t="s">
        <v>659</v>
      </c>
      <c r="D74" s="475">
        <v>423118.5</v>
      </c>
      <c r="E74" s="475">
        <v>437099.77907885425</v>
      </c>
    </row>
    <row r="75" spans="1:6">
      <c r="A75" s="348" t="s">
        <v>65</v>
      </c>
      <c r="B75" s="348" t="s">
        <v>656</v>
      </c>
      <c r="C75" s="1295" t="s">
        <v>660</v>
      </c>
      <c r="D75" s="475">
        <v>22799606</v>
      </c>
      <c r="E75" s="475">
        <v>23126431.612027094</v>
      </c>
    </row>
    <row r="76" spans="1:6">
      <c r="A76" s="348" t="s">
        <v>65</v>
      </c>
      <c r="B76" s="348" t="s">
        <v>657</v>
      </c>
      <c r="C76" s="1295" t="s">
        <v>661</v>
      </c>
      <c r="D76" s="475">
        <v>789906.5</v>
      </c>
      <c r="E76" s="475">
        <v>808157.09080653475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146763</v>
      </c>
      <c r="C83" s="475">
        <v>146962.58719214762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2167.2933609869679</v>
      </c>
    </row>
    <row r="92" spans="1:6">
      <c r="A92" s="341" t="s">
        <v>69</v>
      </c>
      <c r="B92" s="342">
        <v>1293.8716001373227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16</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20061.03768445642</v>
      </c>
      <c r="C3" s="43" t="s">
        <v>170</v>
      </c>
      <c r="D3" s="43"/>
      <c r="E3" s="154"/>
      <c r="F3" s="43"/>
      <c r="G3" s="43"/>
      <c r="H3" s="43"/>
      <c r="I3" s="43"/>
      <c r="J3" s="43"/>
      <c r="K3" s="96"/>
    </row>
    <row r="4" spans="1:11">
      <c r="A4" s="383" t="s">
        <v>171</v>
      </c>
      <c r="B4" s="49">
        <f>IF(ISERROR('SEAP template'!B78+'SEAP template'!C78),0,'SEAP template'!B78+'SEAP template'!C78)</f>
        <v>3461.1649611242906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0.18287049401730912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375.87799999999999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375.87799999999999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0.18287049401730912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68.73699555023812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8739.7194</v>
      </c>
      <c r="C5" s="17">
        <f>IF(ISERROR('Eigen informatie GS &amp; warmtenet'!B57),0,'Eigen informatie GS &amp; warmtenet'!B57)</f>
        <v>0</v>
      </c>
      <c r="D5" s="30">
        <f>(SUM(HH_hh_gas_kWh,HH_rest_gas_kWh)/1000)*0.902</f>
        <v>6876.6155996999996</v>
      </c>
      <c r="E5" s="17">
        <f>B46*B57</f>
        <v>2602.2637611387304</v>
      </c>
      <c r="F5" s="17">
        <f>B51*B62</f>
        <v>39961.159259809741</v>
      </c>
      <c r="G5" s="18"/>
      <c r="H5" s="17"/>
      <c r="I5" s="17"/>
      <c r="J5" s="17">
        <f>B50*B61+C50*C61</f>
        <v>1424.5172094887107</v>
      </c>
      <c r="K5" s="17"/>
      <c r="L5" s="17"/>
      <c r="M5" s="17"/>
      <c r="N5" s="17">
        <f>B48*B59+C48*C59</f>
        <v>4365.9685562398699</v>
      </c>
      <c r="O5" s="17">
        <f>B69*B70*B71</f>
        <v>157.89666666666668</v>
      </c>
      <c r="P5" s="17">
        <f>B77*B78*B79/1000-B77*B78*B79/1000/B80</f>
        <v>1220.2666666666667</v>
      </c>
    </row>
    <row r="6" spans="1:16">
      <c r="A6" s="16" t="s">
        <v>621</v>
      </c>
      <c r="B6" s="788">
        <f>kWh_PV_kleiner_dan_10kW</f>
        <v>2167.2933609869679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10907.012760986967</v>
      </c>
      <c r="C8" s="21">
        <f>C5</f>
        <v>0</v>
      </c>
      <c r="D8" s="21">
        <f>D5</f>
        <v>6876.6155996999996</v>
      </c>
      <c r="E8" s="21">
        <f>E5</f>
        <v>2602.2637611387304</v>
      </c>
      <c r="F8" s="21">
        <f>F5</f>
        <v>39961.159259809741</v>
      </c>
      <c r="G8" s="21"/>
      <c r="H8" s="21"/>
      <c r="I8" s="21"/>
      <c r="J8" s="21">
        <f>J5</f>
        <v>1424.5172094887107</v>
      </c>
      <c r="K8" s="21"/>
      <c r="L8" s="21">
        <f>L5</f>
        <v>0</v>
      </c>
      <c r="M8" s="21">
        <f>M5</f>
        <v>0</v>
      </c>
      <c r="N8" s="21">
        <f>N5</f>
        <v>4365.9685562398699</v>
      </c>
      <c r="O8" s="21">
        <f>O5</f>
        <v>157.89666666666668</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0.18287049401730912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1994.5708118547814</v>
      </c>
      <c r="C12" s="23">
        <f ca="1">C10*C8</f>
        <v>0</v>
      </c>
      <c r="D12" s="23">
        <f>D8*D10</f>
        <v>1389.0763511394</v>
      </c>
      <c r="E12" s="23">
        <f>E10*E8</f>
        <v>590.7138737784918</v>
      </c>
      <c r="F12" s="23">
        <f>F10*F8</f>
        <v>10669.629522369201</v>
      </c>
      <c r="G12" s="23"/>
      <c r="H12" s="23"/>
      <c r="I12" s="23"/>
      <c r="J12" s="23">
        <f>J10*J8</f>
        <v>504.27909215900354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2440</v>
      </c>
      <c r="C28" s="36"/>
      <c r="D28" s="228"/>
    </row>
    <row r="29" spans="1:7" s="15" customFormat="1">
      <c r="A29" s="230" t="s">
        <v>794</v>
      </c>
      <c r="B29" s="37">
        <f>SUM(HH_hh_gas_aantal,HH_rest_gas_aantal)</f>
        <v>463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463</v>
      </c>
      <c r="C32" s="167">
        <f>IF(ISERROR(B32/SUM($B$32,$B$34,$B$35,$B$36,$B$38,$B$39)*100),0,B32/SUM($B$32,$B$34,$B$35,$B$36,$B$38,$B$39)*100)</f>
        <v>19.486531986531986</v>
      </c>
      <c r="D32" s="233"/>
      <c r="G32" s="15"/>
    </row>
    <row r="33" spans="1:7">
      <c r="A33" s="171" t="s">
        <v>72</v>
      </c>
      <c r="B33" s="34" t="s">
        <v>111</v>
      </c>
      <c r="C33" s="167"/>
      <c r="D33" s="233"/>
      <c r="G33" s="15"/>
    </row>
    <row r="34" spans="1:7">
      <c r="A34" s="171" t="s">
        <v>73</v>
      </c>
      <c r="B34" s="33">
        <f>IF((($B$28-$B$32-$B$39-$B$77-$B$38)*C20/100)&lt;0,0,($B$28-$B$32-$B$39-$B$77-$B$38)*C20/100)</f>
        <v>122.90229885057475</v>
      </c>
      <c r="C34" s="167">
        <f>IF(ISERROR(B34/SUM($B$32,$B$34,$B$35,$B$36,$B$38,$B$39)*100),0,B34/SUM($B$32,$B$34,$B$35,$B$36,$B$38,$B$39)*100)</f>
        <v>5.1726556755292403</v>
      </c>
      <c r="D34" s="233"/>
      <c r="G34" s="15"/>
    </row>
    <row r="35" spans="1:7">
      <c r="A35" s="171" t="s">
        <v>74</v>
      </c>
      <c r="B35" s="33">
        <f>IF((($B$28-$B$32-$B$39-$B$77-$B$38)*C21/100)&lt;0,0,($B$28-$B$32-$B$39-$B$77-$B$38)*C21/100)</f>
        <v>145.59195402298855</v>
      </c>
      <c r="C35" s="167">
        <f>IF(ISERROR(B35/SUM($B$32,$B$34,$B$35,$B$36,$B$38,$B$39)*100),0,B35/SUM($B$32,$B$34,$B$35,$B$36,$B$38,$B$39)*100)</f>
        <v>6.1276074925500232</v>
      </c>
      <c r="D35" s="233"/>
      <c r="G35" s="15"/>
    </row>
    <row r="36" spans="1:7">
      <c r="A36" s="171" t="s">
        <v>75</v>
      </c>
      <c r="B36" s="33">
        <f>IF((($B$28-$B$32-$B$39-$B$77-$B$38)*C22/100)&lt;0,0,($B$28-$B$32-$B$39-$B$77-$B$38)*C22/100)</f>
        <v>60.505747126436802</v>
      </c>
      <c r="C36" s="167">
        <f>IF(ISERROR(B36/SUM($B$32,$B$34,$B$35,$B$36,$B$38,$B$39)*100),0,B36/SUM($B$32,$B$34,$B$35,$B$36,$B$38,$B$39)*100)</f>
        <v>2.5465381787220878</v>
      </c>
      <c r="D36" s="233"/>
      <c r="G36" s="15"/>
    </row>
    <row r="37" spans="1:7">
      <c r="A37" s="171" t="s">
        <v>76</v>
      </c>
      <c r="B37" s="34" t="s">
        <v>111</v>
      </c>
      <c r="C37" s="167"/>
      <c r="D37" s="173"/>
      <c r="G37" s="15"/>
    </row>
    <row r="38" spans="1:7">
      <c r="A38" s="171" t="s">
        <v>77</v>
      </c>
      <c r="B38" s="33">
        <f>IF((B24-(B29-B18)*0.1)&lt;0,0,B24-(B29-B18)*0.1)</f>
        <v>40.4</v>
      </c>
      <c r="C38" s="167">
        <f>IF(ISERROR(B38/SUM($B$32,$B$34,$B$35,$B$36,$B$38,$B$39)*100),0,B38/SUM($B$32,$B$34,$B$35,$B$36,$B$38,$B$39)*100)</f>
        <v>1.7003367003367003</v>
      </c>
      <c r="D38" s="234"/>
      <c r="G38" s="15"/>
    </row>
    <row r="39" spans="1:7">
      <c r="A39" s="171" t="s">
        <v>78</v>
      </c>
      <c r="B39" s="33">
        <f>IF((B25-(B29-B18))&lt;0,0,B25-(B29-B18)*0.9)</f>
        <v>1543.6</v>
      </c>
      <c r="C39" s="167">
        <f>IF(ISERROR(B39/SUM($B$32,$B$34,$B$35,$B$36,$B$38,$B$39)*100),0,B39/SUM($B$32,$B$34,$B$35,$B$36,$B$38,$B$39)*100)</f>
        <v>64.966329966329965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463</v>
      </c>
      <c r="C44" s="34" t="s">
        <v>111</v>
      </c>
      <c r="D44" s="174"/>
    </row>
    <row r="45" spans="1:7">
      <c r="A45" s="171" t="s">
        <v>72</v>
      </c>
      <c r="B45" s="33" t="str">
        <f t="shared" si="0"/>
        <v>-</v>
      </c>
      <c r="C45" s="34" t="s">
        <v>111</v>
      </c>
      <c r="D45" s="174"/>
    </row>
    <row r="46" spans="1:7">
      <c r="A46" s="171" t="s">
        <v>73</v>
      </c>
      <c r="B46" s="33">
        <f t="shared" si="0"/>
        <v>122.90229885057475</v>
      </c>
      <c r="C46" s="34" t="s">
        <v>111</v>
      </c>
      <c r="D46" s="174"/>
    </row>
    <row r="47" spans="1:7">
      <c r="A47" s="171" t="s">
        <v>74</v>
      </c>
      <c r="B47" s="33">
        <f t="shared" si="0"/>
        <v>145.59195402298855</v>
      </c>
      <c r="C47" s="34" t="s">
        <v>111</v>
      </c>
      <c r="D47" s="174"/>
    </row>
    <row r="48" spans="1:7">
      <c r="A48" s="171" t="s">
        <v>75</v>
      </c>
      <c r="B48" s="33">
        <f t="shared" si="0"/>
        <v>60.505747126436802</v>
      </c>
      <c r="C48" s="33">
        <f>B48*10</f>
        <v>605.05747126436802</v>
      </c>
      <c r="D48" s="234"/>
    </row>
    <row r="49" spans="1:6">
      <c r="A49" s="171" t="s">
        <v>76</v>
      </c>
      <c r="B49" s="33" t="str">
        <f t="shared" si="0"/>
        <v>-</v>
      </c>
      <c r="C49" s="34" t="s">
        <v>111</v>
      </c>
      <c r="D49" s="234"/>
    </row>
    <row r="50" spans="1:6">
      <c r="A50" s="171" t="s">
        <v>77</v>
      </c>
      <c r="B50" s="33">
        <f t="shared" si="0"/>
        <v>40.4</v>
      </c>
      <c r="C50" s="33">
        <f>B50*2</f>
        <v>80.8</v>
      </c>
      <c r="D50" s="234"/>
    </row>
    <row r="51" spans="1:6">
      <c r="A51" s="171" t="s">
        <v>78</v>
      </c>
      <c r="B51" s="33">
        <f t="shared" si="0"/>
        <v>1543.6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5013.8339999999998</v>
      </c>
      <c r="C5" s="17">
        <f>IF(ISERROR('Eigen informatie GS &amp; warmtenet'!B58),0,'Eigen informatie GS &amp; warmtenet'!B58)</f>
        <v>0</v>
      </c>
      <c r="D5" s="30">
        <f>SUM(D6:D12)</f>
        <v>2103.7872768000002</v>
      </c>
      <c r="E5" s="17">
        <f>SUM(E6:E12)</f>
        <v>104.23223741296248</v>
      </c>
      <c r="F5" s="17">
        <f>SUM(F6:F12)</f>
        <v>896.26381481676196</v>
      </c>
      <c r="G5" s="18"/>
      <c r="H5" s="17"/>
      <c r="I5" s="17"/>
      <c r="J5" s="17">
        <f>SUM(J6:J12)</f>
        <v>9.3832367162768708E-3</v>
      </c>
      <c r="K5" s="17"/>
      <c r="L5" s="17"/>
      <c r="M5" s="17"/>
      <c r="N5" s="17">
        <f>SUM(N6:N12)</f>
        <v>378.81692259275906</v>
      </c>
      <c r="O5" s="17">
        <f>B38*B39*B40</f>
        <v>3.1266666666666669</v>
      </c>
      <c r="P5" s="17">
        <f>B46*B47*B48/1000-B46*B47*B48/1000/B49</f>
        <v>19.066666666666666</v>
      </c>
      <c r="R5" s="32"/>
    </row>
    <row r="6" spans="1:18">
      <c r="A6" s="32" t="s">
        <v>54</v>
      </c>
      <c r="B6" s="37">
        <f>B26</f>
        <v>830.23009999999999</v>
      </c>
      <c r="C6" s="33"/>
      <c r="D6" s="37">
        <f>IF(ISERROR(TER_kantoor_gas_kWh/1000),0,TER_kantoor_gas_kWh/1000)*0.902</f>
        <v>485.68406480000004</v>
      </c>
      <c r="E6" s="33">
        <f>$C$26*'E Balans VL '!I12/100/3.6*1000000</f>
        <v>5.2036061365947099E-3</v>
      </c>
      <c r="F6" s="33">
        <f>$C$26*('E Balans VL '!L12+'E Balans VL '!N12)/100/3.6*1000000</f>
        <v>124.7603851884452</v>
      </c>
      <c r="G6" s="34"/>
      <c r="H6" s="33"/>
      <c r="I6" s="33"/>
      <c r="J6" s="33">
        <f>$C$26*('E Balans VL '!D12+'E Balans VL '!E12)/100/3.6*1000000</f>
        <v>0</v>
      </c>
      <c r="K6" s="33"/>
      <c r="L6" s="33"/>
      <c r="M6" s="33"/>
      <c r="N6" s="33">
        <f>$C$26*'E Balans VL '!Y12/100/3.6*1000000</f>
        <v>0.7939919955287037</v>
      </c>
      <c r="O6" s="33"/>
      <c r="P6" s="33"/>
      <c r="R6" s="32"/>
    </row>
    <row r="7" spans="1:18">
      <c r="A7" s="32" t="s">
        <v>53</v>
      </c>
      <c r="B7" s="37">
        <f t="shared" ref="B7:B12" si="0">B27</f>
        <v>649.428</v>
      </c>
      <c r="C7" s="33"/>
      <c r="D7" s="37">
        <f>IF(ISERROR(TER_horeca_gas_kWh/1000),0,TER_horeca_gas_kWh/1000)*0.902</f>
        <v>511.25359999999995</v>
      </c>
      <c r="E7" s="33">
        <f>$C$27*'E Balans VL '!I9/100/3.6*1000000</f>
        <v>9.2997007859454204</v>
      </c>
      <c r="F7" s="33">
        <f>$C$27*('E Balans VL '!L9+'E Balans VL '!N9)/100/3.6*1000000</f>
        <v>82.239003760623973</v>
      </c>
      <c r="G7" s="34"/>
      <c r="H7" s="33"/>
      <c r="I7" s="33"/>
      <c r="J7" s="33">
        <f>$C$27*('E Balans VL '!D9+'E Balans VL '!E9)/100/3.6*1000000</f>
        <v>0</v>
      </c>
      <c r="K7" s="33"/>
      <c r="L7" s="33"/>
      <c r="M7" s="33"/>
      <c r="N7" s="33">
        <f>$C$27*'E Balans VL '!Y9/100/3.6*1000000</f>
        <v>0.18669623134170882</v>
      </c>
      <c r="O7" s="33"/>
      <c r="P7" s="33"/>
      <c r="R7" s="32"/>
    </row>
    <row r="8" spans="1:18">
      <c r="A8" s="6" t="s">
        <v>52</v>
      </c>
      <c r="B8" s="37">
        <f t="shared" si="0"/>
        <v>2566.5477999999998</v>
      </c>
      <c r="C8" s="33"/>
      <c r="D8" s="37">
        <f>IF(ISERROR(TER_handel_gas_kWh/1000),0,TER_handel_gas_kWh/1000)*0.902</f>
        <v>129.14836</v>
      </c>
      <c r="E8" s="33">
        <f>$C$28*'E Balans VL '!I13/100/3.6*1000000</f>
        <v>93.088372213504655</v>
      </c>
      <c r="F8" s="33">
        <f>$C$28*('E Balans VL '!L13+'E Balans VL '!N13)/100/3.6*1000000</f>
        <v>494.34309422873719</v>
      </c>
      <c r="G8" s="34"/>
      <c r="H8" s="33"/>
      <c r="I8" s="33"/>
      <c r="J8" s="33">
        <f>$C$28*('E Balans VL '!D13+'E Balans VL '!E13)/100/3.6*1000000</f>
        <v>0</v>
      </c>
      <c r="K8" s="33"/>
      <c r="L8" s="33"/>
      <c r="M8" s="33"/>
      <c r="N8" s="33">
        <f>$C$28*'E Balans VL '!Y13/100/3.6*1000000</f>
        <v>3.5552592393116496</v>
      </c>
      <c r="O8" s="33"/>
      <c r="P8" s="33"/>
      <c r="R8" s="32"/>
    </row>
    <row r="9" spans="1:18">
      <c r="A9" s="32" t="s">
        <v>51</v>
      </c>
      <c r="B9" s="37">
        <f t="shared" si="0"/>
        <v>449.47800000000001</v>
      </c>
      <c r="C9" s="33"/>
      <c r="D9" s="37">
        <f>IF(ISERROR(TER_gezond_gas_kWh/1000),0,TER_gezond_gas_kWh/1000)*0.902</f>
        <v>702.64988200000005</v>
      </c>
      <c r="E9" s="33">
        <f>$C$29*'E Balans VL '!I10/100/3.6*1000000</f>
        <v>2.8141760593516241E-2</v>
      </c>
      <c r="F9" s="33">
        <f>$C$29*('E Balans VL '!L10+'E Balans VL '!N10)/100/3.6*1000000</f>
        <v>66.771325430178081</v>
      </c>
      <c r="G9" s="34"/>
      <c r="H9" s="33"/>
      <c r="I9" s="33"/>
      <c r="J9" s="33">
        <f>$C$29*('E Balans VL '!D10+'E Balans VL '!E10)/100/3.6*1000000</f>
        <v>0</v>
      </c>
      <c r="K9" s="33"/>
      <c r="L9" s="33"/>
      <c r="M9" s="33"/>
      <c r="N9" s="33">
        <f>$C$29*'E Balans VL '!Y10/100/3.6*1000000</f>
        <v>6.9525690749196469</v>
      </c>
      <c r="O9" s="33"/>
      <c r="P9" s="33"/>
      <c r="R9" s="32"/>
    </row>
    <row r="10" spans="1:18">
      <c r="A10" s="32" t="s">
        <v>50</v>
      </c>
      <c r="B10" s="37">
        <f t="shared" si="0"/>
        <v>432.28609999999998</v>
      </c>
      <c r="C10" s="33"/>
      <c r="D10" s="37">
        <f>IF(ISERROR(TER_ander_gas_kWh/1000),0,TER_ander_gas_kWh/1000)*0.902</f>
        <v>134.084104</v>
      </c>
      <c r="E10" s="33">
        <f>$C$30*'E Balans VL '!I14/100/3.6*1000000</f>
        <v>0.51526958390492017</v>
      </c>
      <c r="F10" s="33">
        <f>$C$30*('E Balans VL '!L14+'E Balans VL '!N14)/100/3.6*1000000</f>
        <v>113.10526169056934</v>
      </c>
      <c r="G10" s="34"/>
      <c r="H10" s="33"/>
      <c r="I10" s="33"/>
      <c r="J10" s="33">
        <f>$C$30*('E Balans VL '!D14+'E Balans VL '!E14)/100/3.6*1000000</f>
        <v>9.3832367162768708E-3</v>
      </c>
      <c r="K10" s="33"/>
      <c r="L10" s="33"/>
      <c r="M10" s="33"/>
      <c r="N10" s="33">
        <f>$C$30*'E Balans VL '!Y14/100/3.6*1000000</f>
        <v>367.08677822802747</v>
      </c>
      <c r="O10" s="33"/>
      <c r="P10" s="33"/>
      <c r="R10" s="32"/>
    </row>
    <row r="11" spans="1:18">
      <c r="A11" s="32" t="s">
        <v>55</v>
      </c>
      <c r="B11" s="37">
        <f t="shared" si="0"/>
        <v>85.864000000000004</v>
      </c>
      <c r="C11" s="33"/>
      <c r="D11" s="37">
        <f>IF(ISERROR(TER_onderwijs_gas_kWh/1000),0,TER_onderwijs_gas_kWh/1000)*0.902</f>
        <v>0</v>
      </c>
      <c r="E11" s="33">
        <f>$C$31*'E Balans VL '!I11/100/3.6*1000000</f>
        <v>1.2955494628773689</v>
      </c>
      <c r="F11" s="33">
        <f>$C$31*('E Balans VL '!L11+'E Balans VL '!N11)/100/3.6*1000000</f>
        <v>15.044744518208159</v>
      </c>
      <c r="G11" s="34"/>
      <c r="H11" s="33"/>
      <c r="I11" s="33"/>
      <c r="J11" s="33">
        <f>$C$31*('E Balans VL '!D11+'E Balans VL '!E11)/100/3.6*1000000</f>
        <v>0</v>
      </c>
      <c r="K11" s="33"/>
      <c r="L11" s="33"/>
      <c r="M11" s="33"/>
      <c r="N11" s="33">
        <f>$C$31*'E Balans VL '!Y11/100/3.6*1000000</f>
        <v>0.24162782362986435</v>
      </c>
      <c r="O11" s="33"/>
      <c r="P11" s="33"/>
      <c r="R11" s="32"/>
    </row>
    <row r="12" spans="1:18">
      <c r="A12" s="32" t="s">
        <v>260</v>
      </c>
      <c r="B12" s="37">
        <f t="shared" si="0"/>
        <v>0</v>
      </c>
      <c r="C12" s="33"/>
      <c r="D12" s="37">
        <f>IF(ISERROR(TER_rest_gas_kWh/1000),0,TER_rest_gas_kWh/1000)*0.902</f>
        <v>140.967266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5013.8339999999998</v>
      </c>
      <c r="C16" s="21">
        <f t="shared" ca="1" si="1"/>
        <v>0</v>
      </c>
      <c r="D16" s="21">
        <f t="shared" ca="1" si="1"/>
        <v>2103.7872768000002</v>
      </c>
      <c r="E16" s="21">
        <f t="shared" si="1"/>
        <v>104.23223741296248</v>
      </c>
      <c r="F16" s="21">
        <f t="shared" ca="1" si="1"/>
        <v>896.26381481676196</v>
      </c>
      <c r="G16" s="21">
        <f t="shared" si="1"/>
        <v>0</v>
      </c>
      <c r="H16" s="21">
        <f t="shared" si="1"/>
        <v>0</v>
      </c>
      <c r="I16" s="21">
        <f t="shared" si="1"/>
        <v>0</v>
      </c>
      <c r="J16" s="21">
        <f t="shared" si="1"/>
        <v>9.3832367162768708E-3</v>
      </c>
      <c r="K16" s="21">
        <f t="shared" si="1"/>
        <v>0</v>
      </c>
      <c r="L16" s="21">
        <f t="shared" ca="1" si="1"/>
        <v>0</v>
      </c>
      <c r="M16" s="21">
        <f t="shared" si="1"/>
        <v>0</v>
      </c>
      <c r="N16" s="21">
        <f t="shared" ca="1" si="1"/>
        <v>378.81692259275906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0.18287049401730912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916.88230050078107</v>
      </c>
      <c r="C20" s="23">
        <f t="shared" ref="C20:P20" ca="1" si="2">C16*C18</f>
        <v>0</v>
      </c>
      <c r="D20" s="23">
        <f t="shared" ca="1" si="2"/>
        <v>424.96502991360006</v>
      </c>
      <c r="E20" s="23">
        <f t="shared" si="2"/>
        <v>23.660717892742483</v>
      </c>
      <c r="F20" s="23">
        <f t="shared" ca="1" si="2"/>
        <v>239.30243855607546</v>
      </c>
      <c r="G20" s="23">
        <f t="shared" si="2"/>
        <v>0</v>
      </c>
      <c r="H20" s="23">
        <f t="shared" si="2"/>
        <v>0</v>
      </c>
      <c r="I20" s="23">
        <f t="shared" si="2"/>
        <v>0</v>
      </c>
      <c r="J20" s="23">
        <f t="shared" si="2"/>
        <v>3.3216657975620122E-3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830.23009999999999</v>
      </c>
      <c r="C26" s="39">
        <f>IF(ISERROR(B26*3.6/1000000/'E Balans VL '!Z12*100),0,B26*3.6/1000000/'E Balans VL '!Z12*100)</f>
        <v>1.7549749123286981E-2</v>
      </c>
      <c r="D26" s="237" t="s">
        <v>754</v>
      </c>
      <c r="F26" s="6"/>
    </row>
    <row r="27" spans="1:18">
      <c r="A27" s="231" t="s">
        <v>53</v>
      </c>
      <c r="B27" s="33">
        <f>IF(ISERROR(TER_horeca_ele_kWh/1000),0,TER_horeca_ele_kWh/1000)</f>
        <v>649.428</v>
      </c>
      <c r="C27" s="39">
        <f>IF(ISERROR(B27*3.6/1000000/'E Balans VL '!Z9*100),0,B27*3.6/1000000/'E Balans VL '!Z9*100)</f>
        <v>5.1194167185827089E-2</v>
      </c>
      <c r="D27" s="237" t="s">
        <v>754</v>
      </c>
      <c r="F27" s="6"/>
    </row>
    <row r="28" spans="1:18">
      <c r="A28" s="171" t="s">
        <v>52</v>
      </c>
      <c r="B28" s="33">
        <f>IF(ISERROR(TER_handel_ele_kWh/1000),0,TER_handel_ele_kWh/1000)</f>
        <v>2566.5477999999998</v>
      </c>
      <c r="C28" s="39">
        <f>IF(ISERROR(B28*3.6/1000000/'E Balans VL '!Z13*100),0,B28*3.6/1000000/'E Balans VL '!Z13*100)</f>
        <v>7.4491587171135493E-2</v>
      </c>
      <c r="D28" s="237" t="s">
        <v>754</v>
      </c>
      <c r="F28" s="6"/>
    </row>
    <row r="29" spans="1:18">
      <c r="A29" s="231" t="s">
        <v>51</v>
      </c>
      <c r="B29" s="33">
        <f>IF(ISERROR(TER_gezond_ele_kWh/1000),0,TER_gezond_ele_kWh/1000)</f>
        <v>449.47800000000001</v>
      </c>
      <c r="C29" s="39">
        <f>IF(ISERROR(B29*3.6/1000000/'E Balans VL '!Z10*100),0,B29*3.6/1000000/'E Balans VL '!Z10*100)</f>
        <v>4.7337414023579938E-2</v>
      </c>
      <c r="D29" s="237" t="s">
        <v>754</v>
      </c>
      <c r="F29" s="6"/>
    </row>
    <row r="30" spans="1:18">
      <c r="A30" s="231" t="s">
        <v>50</v>
      </c>
      <c r="B30" s="33">
        <f>IF(ISERROR(TER_ander_ele_kWh/1000),0,TER_ander_ele_kWh/1000)</f>
        <v>432.28609999999998</v>
      </c>
      <c r="C30" s="39">
        <f>IF(ISERROR(B30*3.6/1000000/'E Balans VL '!Z14*100),0,B30*3.6/1000000/'E Balans VL '!Z14*100)</f>
        <v>3.1885516628073866E-2</v>
      </c>
      <c r="D30" s="237" t="s">
        <v>754</v>
      </c>
      <c r="F30" s="6"/>
    </row>
    <row r="31" spans="1:18">
      <c r="A31" s="231" t="s">
        <v>55</v>
      </c>
      <c r="B31" s="33">
        <f>IF(ISERROR(TER_onderwijs_ele_kWh/1000),0,TER_onderwijs_ele_kWh/1000)</f>
        <v>85.864000000000004</v>
      </c>
      <c r="C31" s="39">
        <f>IF(ISERROR(B31*3.6/1000000/'E Balans VL '!Z11*100),0,B31*3.6/1000000/'E Balans VL '!Z11*100)</f>
        <v>2.1324053306630144E-2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510.46500000000003</v>
      </c>
      <c r="C5" s="17">
        <f>IF(ISERROR('Eigen informatie GS &amp; warmtenet'!B59),0,'Eigen informatie GS &amp; warmtenet'!B59)</f>
        <v>0</v>
      </c>
      <c r="D5" s="30">
        <f>SUM(D6:D15)</f>
        <v>177.077032</v>
      </c>
      <c r="E5" s="17">
        <f>SUM(E6:E15)</f>
        <v>132.53091592890166</v>
      </c>
      <c r="F5" s="17">
        <f>SUM(F6:F15)</f>
        <v>368.19830490892343</v>
      </c>
      <c r="G5" s="18"/>
      <c r="H5" s="17"/>
      <c r="I5" s="17"/>
      <c r="J5" s="17">
        <f>SUM(J6:J15)</f>
        <v>5.2199702733131549E-2</v>
      </c>
      <c r="K5" s="17"/>
      <c r="L5" s="17"/>
      <c r="M5" s="17"/>
      <c r="N5" s="17">
        <f>SUM(N6:N15)</f>
        <v>152.3445591823988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46.731000000000002</v>
      </c>
      <c r="C8" s="33"/>
      <c r="D8" s="37">
        <f>IF( ISERROR(IND_metaal_Gas_kWH/1000),0,IND_metaal_Gas_kWH/1000)*0.902</f>
        <v>0</v>
      </c>
      <c r="E8" s="33">
        <f>C30*'E Balans VL '!I18/100/3.6*1000000</f>
        <v>0.42964641177098167</v>
      </c>
      <c r="F8" s="33">
        <f>C30*'E Balans VL '!L18/100/3.6*1000000+C30*'E Balans VL '!N18/100/3.6*1000000</f>
        <v>4.3818119675215037</v>
      </c>
      <c r="G8" s="34"/>
      <c r="H8" s="33"/>
      <c r="I8" s="33"/>
      <c r="J8" s="40">
        <f>C30*'E Balans VL '!D18/100/3.6*1000000+C30*'E Balans VL '!E18/100/3.6*1000000</f>
        <v>0</v>
      </c>
      <c r="K8" s="33"/>
      <c r="L8" s="33"/>
      <c r="M8" s="33"/>
      <c r="N8" s="33">
        <f>C30*'E Balans VL '!Y18/100/3.6*1000000</f>
        <v>0.66669494122957751</v>
      </c>
      <c r="O8" s="33"/>
      <c r="P8" s="33"/>
      <c r="R8" s="32"/>
    </row>
    <row r="9" spans="1:18">
      <c r="A9" s="6" t="s">
        <v>33</v>
      </c>
      <c r="B9" s="37">
        <f t="shared" si="0"/>
        <v>449.15300000000002</v>
      </c>
      <c r="C9" s="33"/>
      <c r="D9" s="37">
        <f>IF( ISERROR(IND_andere_gas_kWh/1000),0,IND_andere_gas_kWh/1000)*0.902</f>
        <v>160.92131000000001</v>
      </c>
      <c r="E9" s="33">
        <f>C31*'E Balans VL '!I19/100/3.6*1000000</f>
        <v>131.29616587756382</v>
      </c>
      <c r="F9" s="33">
        <f>C31*'E Balans VL '!L19/100/3.6*1000000+C31*'E Balans VL '!N19/100/3.6*1000000</f>
        <v>360.92843325818467</v>
      </c>
      <c r="G9" s="34"/>
      <c r="H9" s="33"/>
      <c r="I9" s="33"/>
      <c r="J9" s="40">
        <f>C31*'E Balans VL '!D19/100/3.6*1000000+C31*'E Balans VL '!E19/100/3.6*1000000</f>
        <v>0</v>
      </c>
      <c r="K9" s="33"/>
      <c r="L9" s="33"/>
      <c r="M9" s="33"/>
      <c r="N9" s="33">
        <f>C31*'E Balans VL '!Y19/100/3.6*1000000</f>
        <v>148.40711706914945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14.581</v>
      </c>
      <c r="C15" s="33"/>
      <c r="D15" s="37">
        <f>IF( ISERROR(IND_rest_gas_kWh/1000),0,IND_rest_gas_kWh/1000)*0.902</f>
        <v>16.155722000000001</v>
      </c>
      <c r="E15" s="33">
        <f>C37*'E Balans VL '!I15/100/3.6*1000000</f>
        <v>0.80510363956686481</v>
      </c>
      <c r="F15" s="33">
        <f>C37*'E Balans VL '!L15/100/3.6*1000000+C37*'E Balans VL '!N15/100/3.6*1000000</f>
        <v>2.8880596832172296</v>
      </c>
      <c r="G15" s="34"/>
      <c r="H15" s="33"/>
      <c r="I15" s="33"/>
      <c r="J15" s="40">
        <f>C37*'E Balans VL '!D15/100/3.6*1000000+C37*'E Balans VL '!E15/100/3.6*1000000</f>
        <v>5.2199702733131549E-2</v>
      </c>
      <c r="K15" s="33"/>
      <c r="L15" s="33"/>
      <c r="M15" s="33"/>
      <c r="N15" s="33">
        <f>C37*'E Balans VL '!Y15/100/3.6*1000000</f>
        <v>3.2707471720197878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510.46500000000003</v>
      </c>
      <c r="C18" s="21">
        <f>C5+C16</f>
        <v>0</v>
      </c>
      <c r="D18" s="21">
        <f>MAX((D5+D16),0)</f>
        <v>177.077032</v>
      </c>
      <c r="E18" s="21">
        <f>MAX((E5+E16),0)</f>
        <v>132.53091592890166</v>
      </c>
      <c r="F18" s="21">
        <f>MAX((F5+F16),0)</f>
        <v>368.19830490892343</v>
      </c>
      <c r="G18" s="21"/>
      <c r="H18" s="21"/>
      <c r="I18" s="21"/>
      <c r="J18" s="21">
        <f>MAX((J5+J16),0)</f>
        <v>5.2199702733131549E-2</v>
      </c>
      <c r="K18" s="21"/>
      <c r="L18" s="21">
        <f>MAX((L5+L16),0)</f>
        <v>0</v>
      </c>
      <c r="M18" s="21"/>
      <c r="N18" s="21">
        <f>MAX((N5+N16),0)</f>
        <v>152.3445591823988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0.18287049401730912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93.348986728545711</v>
      </c>
      <c r="C22" s="23">
        <f ca="1">C18*C20</f>
        <v>0</v>
      </c>
      <c r="D22" s="23">
        <f>D18*D20</f>
        <v>35.769560464000001</v>
      </c>
      <c r="E22" s="23">
        <f>E18*E20</f>
        <v>30.08451791586068</v>
      </c>
      <c r="F22" s="23">
        <f>F18*F20</f>
        <v>98.308947410682563</v>
      </c>
      <c r="G22" s="23"/>
      <c r="H22" s="23"/>
      <c r="I22" s="23"/>
      <c r="J22" s="23">
        <f>J18*J20</f>
        <v>1.8478694767528569E-2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46.731000000000002</v>
      </c>
      <c r="C30" s="39">
        <f>IF(ISERROR(B30*3.6/1000000/'E Balans VL '!Z18*100),0,B30*3.6/1000000/'E Balans VL '!Z18*100)</f>
        <v>2.6483655961212081E-3</v>
      </c>
      <c r="D30" s="237" t="s">
        <v>754</v>
      </c>
    </row>
    <row r="31" spans="1:18">
      <c r="A31" s="6" t="s">
        <v>33</v>
      </c>
      <c r="B31" s="37">
        <f>IF( ISERROR(IND_ander_ele_kWh/1000),0,IND_ander_ele_kWh/1000)</f>
        <v>449.15300000000002</v>
      </c>
      <c r="C31" s="39">
        <f>IF(ISERROR(B31*3.6/1000000/'E Balans VL '!Z19*100),0,B31*3.6/1000000/'E Balans VL '!Z19*100)</f>
        <v>2.0371709839458966E-2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14.581</v>
      </c>
      <c r="C37" s="39">
        <f>IF(ISERROR(B37*3.6/1000000/'E Balans VL '!Z15*100),0,B37*3.6/1000000/'E Balans VL '!Z15*100)</f>
        <v>1.1557233217105814E-4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2848.5154739999998</v>
      </c>
      <c r="C5" s="17">
        <f>'Eigen informatie GS &amp; warmtenet'!B60</f>
        <v>0</v>
      </c>
      <c r="D5" s="30">
        <f>IF(ISERROR(SUM(LB_lb_gas_kWh,LB_rest_gas_kWh)/1000),0,SUM(LB_lb_gas_kWh,LB_rest_gas_kWh)/1000)*0.902</f>
        <v>45.724184000000001</v>
      </c>
      <c r="E5" s="17">
        <f>B17*'E Balans VL '!I25/3.6*1000000/100</f>
        <v>83.726570151327394</v>
      </c>
      <c r="F5" s="17">
        <f>B17*('E Balans VL '!L25/3.6*1000000+'E Balans VL '!N25/3.6*1000000)/100</f>
        <v>11866.761538986984</v>
      </c>
      <c r="G5" s="18"/>
      <c r="H5" s="17"/>
      <c r="I5" s="17"/>
      <c r="J5" s="17">
        <f>('E Balans VL '!D25+'E Balans VL '!E25)/3.6*1000000*landbouw!B17/100</f>
        <v>412.68871961256031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2848.5154739999998</v>
      </c>
      <c r="C8" s="21">
        <f>C5+C6</f>
        <v>0</v>
      </c>
      <c r="D8" s="21">
        <f>MAX((D5+D6),0)</f>
        <v>45.724184000000001</v>
      </c>
      <c r="E8" s="21">
        <f>MAX((E5+E6),0)</f>
        <v>83.726570151327394</v>
      </c>
      <c r="F8" s="21">
        <f>MAX((F5+F6),0)</f>
        <v>11866.761538986984</v>
      </c>
      <c r="G8" s="21"/>
      <c r="H8" s="21"/>
      <c r="I8" s="21"/>
      <c r="J8" s="21">
        <f>MAX((J5+J6),0)</f>
        <v>412.68871961256031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0.18287049401730912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520.90943194632939</v>
      </c>
      <c r="C12" s="23">
        <f ca="1">C8*C10</f>
        <v>0</v>
      </c>
      <c r="D12" s="23">
        <f>D8*D10</f>
        <v>9.2362851680000002</v>
      </c>
      <c r="E12" s="23">
        <f>E8*E10</f>
        <v>19.005931424351321</v>
      </c>
      <c r="F12" s="23">
        <f>F8*F10</f>
        <v>3168.4253309095252</v>
      </c>
      <c r="G12" s="23"/>
      <c r="H12" s="23"/>
      <c r="I12" s="23"/>
      <c r="J12" s="23">
        <f>J8*J10</f>
        <v>146.09180674284633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0.40421328270535062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197.69184339607915</v>
      </c>
      <c r="C26" s="247">
        <f>B26*'GWP N2O_CH4'!B5</f>
        <v>4151.5287113176619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37.713818376637605</v>
      </c>
      <c r="C27" s="247">
        <f>B27*'GWP N2O_CH4'!B5</f>
        <v>791.99018590938965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4.70763898895982</v>
      </c>
      <c r="C28" s="247">
        <f>B28*'GWP N2O_CH4'!B4</f>
        <v>1459.3680865775443</v>
      </c>
      <c r="D28" s="50"/>
    </row>
    <row r="29" spans="1:4">
      <c r="A29" s="41" t="s">
        <v>277</v>
      </c>
      <c r="B29" s="247">
        <f>B34*'ha_N2O bodem landbouw'!B4</f>
        <v>14.681916990430592</v>
      </c>
      <c r="C29" s="247">
        <f>B29*'GWP N2O_CH4'!B4</f>
        <v>4551.3942670334836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3.3503628610794377E-3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4.3270738090036292E-5</v>
      </c>
      <c r="C5" s="463" t="s">
        <v>211</v>
      </c>
      <c r="D5" s="448">
        <f>SUM(D6:D11)</f>
        <v>2.051388728434781E-4</v>
      </c>
      <c r="E5" s="448">
        <f>SUM(E6:E11)</f>
        <v>2.6286707192127109E-4</v>
      </c>
      <c r="F5" s="461" t="s">
        <v>211</v>
      </c>
      <c r="G5" s="448">
        <f>SUM(G6:G11)</f>
        <v>7.7604084629106118E-2</v>
      </c>
      <c r="H5" s="448">
        <f>SUM(H6:H11)</f>
        <v>2.2783422878618773E-2</v>
      </c>
      <c r="I5" s="463" t="s">
        <v>211</v>
      </c>
      <c r="J5" s="463" t="s">
        <v>211</v>
      </c>
      <c r="K5" s="463" t="s">
        <v>211</v>
      </c>
      <c r="L5" s="463" t="s">
        <v>211</v>
      </c>
      <c r="M5" s="448">
        <f>SUM(M6:M11)</f>
        <v>5.2061087758903946E-3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1.0980752123618924E-5</v>
      </c>
      <c r="C6" s="449"/>
      <c r="D6" s="892">
        <f>vkm_2011_GW_PW*SUMIFS(TableVerdeelsleutelVkm[CNG],TableVerdeelsleutelVkm[Voertuigtype],"Lichte voertuigen")*SUMIFS(TableECFTransport[EnergieConsumptieFactor (PJ per km)],TableECFTransport[Index],CONCATENATE($A6,"_CNG_CNG"))</f>
        <v>3.2935953992408381E-5</v>
      </c>
      <c r="E6" s="892">
        <f>vkm_2011_GW_PW*SUMIFS(TableVerdeelsleutelVkm[LPG],TableVerdeelsleutelVkm[Voertuigtype],"Lichte voertuigen")*SUMIFS(TableECFTransport[EnergieConsumptieFactor (PJ per km)],TableECFTransport[Index],CONCATENATE($A6,"_LPG_LPG"))</f>
        <v>4.499524417026569E-5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1.163370752837938E-2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3.7460857879025324E-3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7.9020249514555752E-4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3.970564773865151E-3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1.2101474607879321E-6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2.3202640945950561E-4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3.2289985966417365E-5</v>
      </c>
      <c r="C8" s="449"/>
      <c r="D8" s="451">
        <f>vkm_2011_NGW_PW*SUMIFS(TableVerdeelsleutelVkm[CNG],TableVerdeelsleutelVkm[Voertuigtype],"Lichte voertuigen")*SUMIFS(TableECFTransport[EnergieConsumptieFactor (PJ per km)],TableECFTransport[Index],CONCATENATE($A8,"_CNG_CNG"))</f>
        <v>1.7220291885106971E-4</v>
      </c>
      <c r="E8" s="451">
        <f>vkm_2011_NGW_PW*SUMIFS(TableVerdeelsleutelVkm[LPG],TableVerdeelsleutelVkm[Voertuigtype],"Lichte voertuigen")*SUMIFS(TableECFTransport[EnergieConsumptieFactor (PJ per km)],TableECFTransport[Index],CONCATENATE($A8,"_LPG_LPG"))</f>
        <v>2.178718277510054E-4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5.2495153507964326E-2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1.9033399831142571E-2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3.628464681712718E-3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9.5046588188972547E-3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2.7271121128834837E-6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5.5541518957261267E-4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12.019649469454526</v>
      </c>
      <c r="C14" s="21"/>
      <c r="D14" s="21">
        <f t="shared" ref="D14:M14" si="0">((D5)*10^9/3600)+D12</f>
        <v>56.983020234299474</v>
      </c>
      <c r="E14" s="21">
        <f t="shared" si="0"/>
        <v>73.018631089241978</v>
      </c>
      <c r="F14" s="21"/>
      <c r="G14" s="21">
        <f t="shared" si="0"/>
        <v>21556.6901747517</v>
      </c>
      <c r="H14" s="21">
        <f t="shared" si="0"/>
        <v>6328.7285773941039</v>
      </c>
      <c r="I14" s="21"/>
      <c r="J14" s="21"/>
      <c r="K14" s="21"/>
      <c r="L14" s="21"/>
      <c r="M14" s="21">
        <f t="shared" si="0"/>
        <v>1446.1413266362206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0.18287049401730912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2.1980392363940369</v>
      </c>
      <c r="C18" s="23"/>
      <c r="D18" s="23">
        <f t="shared" ref="D18:M18" si="1">D14*D16</f>
        <v>11.510570087328494</v>
      </c>
      <c r="E18" s="23">
        <f t="shared" si="1"/>
        <v>16.575229257257931</v>
      </c>
      <c r="F18" s="23"/>
      <c r="G18" s="23">
        <f t="shared" si="1"/>
        <v>5755.6362766587044</v>
      </c>
      <c r="H18" s="23">
        <f t="shared" si="1"/>
        <v>1575.8534157711319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1.843366298191765E-3</v>
      </c>
      <c r="H50" s="321">
        <f t="shared" si="2"/>
        <v>0</v>
      </c>
      <c r="I50" s="321">
        <f t="shared" si="2"/>
        <v>0</v>
      </c>
      <c r="J50" s="321">
        <f t="shared" si="2"/>
        <v>0</v>
      </c>
      <c r="K50" s="321">
        <f t="shared" si="2"/>
        <v>0</v>
      </c>
      <c r="L50" s="321">
        <f t="shared" si="2"/>
        <v>0</v>
      </c>
      <c r="M50" s="321">
        <f t="shared" si="2"/>
        <v>1.0469506805596414E-4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1.843366298191765E-3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1.0469506805596414E-4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512.04619394215695</v>
      </c>
      <c r="H54" s="21">
        <f t="shared" si="3"/>
        <v>0</v>
      </c>
      <c r="I54" s="21">
        <f t="shared" si="3"/>
        <v>0</v>
      </c>
      <c r="J54" s="21">
        <f t="shared" si="3"/>
        <v>0</v>
      </c>
      <c r="K54" s="21">
        <f t="shared" si="3"/>
        <v>0</v>
      </c>
      <c r="L54" s="21">
        <f t="shared" si="3"/>
        <v>0</v>
      </c>
      <c r="M54" s="21">
        <f t="shared" si="3"/>
        <v>29.081963348878929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0.18287049401730912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136.71633378255592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5389.7119999999995</v>
      </c>
      <c r="D10" s="1013">
        <f ca="1">tertiair!C16</f>
        <v>0</v>
      </c>
      <c r="E10" s="1013">
        <f ca="1">tertiair!D16</f>
        <v>2103.7872768000002</v>
      </c>
      <c r="F10" s="1013">
        <f>tertiair!E16</f>
        <v>104.23223741296248</v>
      </c>
      <c r="G10" s="1013">
        <f ca="1">tertiair!F16</f>
        <v>896.26381481676196</v>
      </c>
      <c r="H10" s="1013">
        <f>tertiair!G16</f>
        <v>0</v>
      </c>
      <c r="I10" s="1013">
        <f>tertiair!H16</f>
        <v>0</v>
      </c>
      <c r="J10" s="1013">
        <f>tertiair!I16</f>
        <v>0</v>
      </c>
      <c r="K10" s="1013">
        <f>tertiair!J16</f>
        <v>9.3832367162768708E-3</v>
      </c>
      <c r="L10" s="1013">
        <f>tertiair!K16</f>
        <v>0</v>
      </c>
      <c r="M10" s="1013">
        <f ca="1">tertiair!L16</f>
        <v>0</v>
      </c>
      <c r="N10" s="1013">
        <f>tertiair!M16</f>
        <v>0</v>
      </c>
      <c r="O10" s="1013">
        <f ca="1">tertiair!N16</f>
        <v>378.81692259275906</v>
      </c>
      <c r="P10" s="1013">
        <f>tertiair!O16</f>
        <v>3.1266666666666669</v>
      </c>
      <c r="Q10" s="1014">
        <f>tertiair!P16</f>
        <v>19.066666666666666</v>
      </c>
      <c r="R10" s="700">
        <f ca="1">SUM(C10:Q10)</f>
        <v>8895.0149681925341</v>
      </c>
      <c r="S10" s="67"/>
    </row>
    <row r="11" spans="1:19" s="473" customFormat="1">
      <c r="A11" s="809" t="s">
        <v>225</v>
      </c>
      <c r="B11" s="814"/>
      <c r="C11" s="1013">
        <f>huishoudens!B8</f>
        <v>10907.012760986967</v>
      </c>
      <c r="D11" s="1013">
        <f>huishoudens!C8</f>
        <v>0</v>
      </c>
      <c r="E11" s="1013">
        <f>huishoudens!D8</f>
        <v>6876.6155996999996</v>
      </c>
      <c r="F11" s="1013">
        <f>huishoudens!E8</f>
        <v>2602.2637611387304</v>
      </c>
      <c r="G11" s="1013">
        <f>huishoudens!F8</f>
        <v>39961.159259809741</v>
      </c>
      <c r="H11" s="1013">
        <f>huishoudens!G8</f>
        <v>0</v>
      </c>
      <c r="I11" s="1013">
        <f>huishoudens!H8</f>
        <v>0</v>
      </c>
      <c r="J11" s="1013">
        <f>huishoudens!I8</f>
        <v>0</v>
      </c>
      <c r="K11" s="1013">
        <f>huishoudens!J8</f>
        <v>1424.5172094887107</v>
      </c>
      <c r="L11" s="1013">
        <f>huishoudens!K8</f>
        <v>0</v>
      </c>
      <c r="M11" s="1013">
        <f>huishoudens!L8</f>
        <v>0</v>
      </c>
      <c r="N11" s="1013">
        <f>huishoudens!M8</f>
        <v>0</v>
      </c>
      <c r="O11" s="1013">
        <f>huishoudens!N8</f>
        <v>4365.9685562398699</v>
      </c>
      <c r="P11" s="1013">
        <f>huishoudens!O8</f>
        <v>157.89666666666668</v>
      </c>
      <c r="Q11" s="1014">
        <f>huishoudens!P8</f>
        <v>1220.2666666666667</v>
      </c>
      <c r="R11" s="700">
        <f>SUM(C11:Q11)</f>
        <v>67515.700480697342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510.46500000000003</v>
      </c>
      <c r="D13" s="1013">
        <f>industrie!C18</f>
        <v>0</v>
      </c>
      <c r="E13" s="1013">
        <f>industrie!D18</f>
        <v>177.077032</v>
      </c>
      <c r="F13" s="1013">
        <f>industrie!E18</f>
        <v>132.53091592890166</v>
      </c>
      <c r="G13" s="1013">
        <f>industrie!F18</f>
        <v>368.19830490892343</v>
      </c>
      <c r="H13" s="1013">
        <f>industrie!G18</f>
        <v>0</v>
      </c>
      <c r="I13" s="1013">
        <f>industrie!H18</f>
        <v>0</v>
      </c>
      <c r="J13" s="1013">
        <f>industrie!I18</f>
        <v>0</v>
      </c>
      <c r="K13" s="1013">
        <f>industrie!J18</f>
        <v>5.2199702733131549E-2</v>
      </c>
      <c r="L13" s="1013">
        <f>industrie!K18</f>
        <v>0</v>
      </c>
      <c r="M13" s="1013">
        <f>industrie!L18</f>
        <v>0</v>
      </c>
      <c r="N13" s="1013">
        <f>industrie!M18</f>
        <v>0</v>
      </c>
      <c r="O13" s="1013">
        <f>industrie!N18</f>
        <v>152.3445591823988</v>
      </c>
      <c r="P13" s="1013">
        <f>industrie!O18</f>
        <v>0</v>
      </c>
      <c r="Q13" s="1014">
        <f>industrie!P18</f>
        <v>0</v>
      </c>
      <c r="R13" s="700">
        <f>SUM(C13:Q13)</f>
        <v>1340.6680117229571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16807.189760986967</v>
      </c>
      <c r="D16" s="732">
        <f t="shared" ref="D16:R16" ca="1" si="0">SUM(D9:D15)</f>
        <v>0</v>
      </c>
      <c r="E16" s="732">
        <f t="shared" ca="1" si="0"/>
        <v>9157.4799084999995</v>
      </c>
      <c r="F16" s="732">
        <f t="shared" si="0"/>
        <v>2839.0269144805948</v>
      </c>
      <c r="G16" s="732">
        <f t="shared" ca="1" si="0"/>
        <v>41225.621379535427</v>
      </c>
      <c r="H16" s="732">
        <f t="shared" si="0"/>
        <v>0</v>
      </c>
      <c r="I16" s="732">
        <f t="shared" si="0"/>
        <v>0</v>
      </c>
      <c r="J16" s="732">
        <f t="shared" si="0"/>
        <v>0</v>
      </c>
      <c r="K16" s="732">
        <f t="shared" si="0"/>
        <v>1424.5787924281601</v>
      </c>
      <c r="L16" s="732">
        <f t="shared" si="0"/>
        <v>0</v>
      </c>
      <c r="M16" s="732">
        <f t="shared" ca="1" si="0"/>
        <v>0</v>
      </c>
      <c r="N16" s="732">
        <f t="shared" si="0"/>
        <v>0</v>
      </c>
      <c r="O16" s="732">
        <f t="shared" ca="1" si="0"/>
        <v>4897.1300380150278</v>
      </c>
      <c r="P16" s="732">
        <f t="shared" si="0"/>
        <v>161.02333333333334</v>
      </c>
      <c r="Q16" s="732">
        <f t="shared" si="0"/>
        <v>1239.3333333333333</v>
      </c>
      <c r="R16" s="732">
        <f t="shared" ca="1" si="0"/>
        <v>77751.383460612837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512.04619394215695</v>
      </c>
      <c r="I19" s="1013">
        <f>transport!H54</f>
        <v>0</v>
      </c>
      <c r="J19" s="1013">
        <f>transport!I54</f>
        <v>0</v>
      </c>
      <c r="K19" s="1013">
        <f>transport!J54</f>
        <v>0</v>
      </c>
      <c r="L19" s="1013">
        <f>transport!K54</f>
        <v>0</v>
      </c>
      <c r="M19" s="1013">
        <f>transport!L54</f>
        <v>0</v>
      </c>
      <c r="N19" s="1013">
        <f>transport!M54</f>
        <v>29.081963348878929</v>
      </c>
      <c r="O19" s="1013">
        <f>transport!N54</f>
        <v>0</v>
      </c>
      <c r="P19" s="1013">
        <f>transport!O54</f>
        <v>0</v>
      </c>
      <c r="Q19" s="1014">
        <f>transport!P54</f>
        <v>0</v>
      </c>
      <c r="R19" s="700">
        <f>SUM(C19:Q19)</f>
        <v>541.1281572910359</v>
      </c>
      <c r="S19" s="67"/>
    </row>
    <row r="20" spans="1:19" s="473" customFormat="1">
      <c r="A20" s="809" t="s">
        <v>307</v>
      </c>
      <c r="B20" s="814"/>
      <c r="C20" s="1013">
        <f>transport!B14</f>
        <v>12.019649469454526</v>
      </c>
      <c r="D20" s="1013">
        <f>transport!C14</f>
        <v>0</v>
      </c>
      <c r="E20" s="1013">
        <f>transport!D14</f>
        <v>56.983020234299474</v>
      </c>
      <c r="F20" s="1013">
        <f>transport!E14</f>
        <v>73.018631089241978</v>
      </c>
      <c r="G20" s="1013">
        <f>transport!F14</f>
        <v>0</v>
      </c>
      <c r="H20" s="1013">
        <f>transport!G14</f>
        <v>21556.6901747517</v>
      </c>
      <c r="I20" s="1013">
        <f>transport!H14</f>
        <v>6328.7285773941039</v>
      </c>
      <c r="J20" s="1013">
        <f>transport!I14</f>
        <v>0</v>
      </c>
      <c r="K20" s="1013">
        <f>transport!J14</f>
        <v>0</v>
      </c>
      <c r="L20" s="1013">
        <f>transport!K14</f>
        <v>0</v>
      </c>
      <c r="M20" s="1013">
        <f>transport!L14</f>
        <v>0</v>
      </c>
      <c r="N20" s="1013">
        <f>transport!M14</f>
        <v>1446.1413266362206</v>
      </c>
      <c r="O20" s="1013">
        <f>transport!N14</f>
        <v>0</v>
      </c>
      <c r="P20" s="1013">
        <f>transport!O14</f>
        <v>0</v>
      </c>
      <c r="Q20" s="1014">
        <f>transport!P14</f>
        <v>0</v>
      </c>
      <c r="R20" s="700">
        <f>SUM(C20:Q20)</f>
        <v>29473.581379575022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12.019649469454526</v>
      </c>
      <c r="D22" s="812">
        <f t="shared" ref="D22:R22" si="1">SUM(D18:D21)</f>
        <v>0</v>
      </c>
      <c r="E22" s="812">
        <f t="shared" si="1"/>
        <v>56.983020234299474</v>
      </c>
      <c r="F22" s="812">
        <f t="shared" si="1"/>
        <v>73.018631089241978</v>
      </c>
      <c r="G22" s="812">
        <f t="shared" si="1"/>
        <v>0</v>
      </c>
      <c r="H22" s="812">
        <f t="shared" si="1"/>
        <v>22068.736368693859</v>
      </c>
      <c r="I22" s="812">
        <f t="shared" si="1"/>
        <v>6328.7285773941039</v>
      </c>
      <c r="J22" s="812">
        <f t="shared" si="1"/>
        <v>0</v>
      </c>
      <c r="K22" s="812">
        <f t="shared" si="1"/>
        <v>0</v>
      </c>
      <c r="L22" s="812">
        <f t="shared" si="1"/>
        <v>0</v>
      </c>
      <c r="M22" s="812">
        <f t="shared" si="1"/>
        <v>0</v>
      </c>
      <c r="N22" s="812">
        <f t="shared" si="1"/>
        <v>1475.2232899850994</v>
      </c>
      <c r="O22" s="812">
        <f t="shared" si="1"/>
        <v>0</v>
      </c>
      <c r="P22" s="812">
        <f t="shared" si="1"/>
        <v>0</v>
      </c>
      <c r="Q22" s="812">
        <f t="shared" si="1"/>
        <v>0</v>
      </c>
      <c r="R22" s="812">
        <f t="shared" si="1"/>
        <v>30014.709536866059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2848.5154739999998</v>
      </c>
      <c r="D24" s="1013">
        <f>+landbouw!C8</f>
        <v>0</v>
      </c>
      <c r="E24" s="1013">
        <f>+landbouw!D8</f>
        <v>45.724184000000001</v>
      </c>
      <c r="F24" s="1013">
        <f>+landbouw!E8</f>
        <v>83.726570151327394</v>
      </c>
      <c r="G24" s="1013">
        <f>+landbouw!F8</f>
        <v>11866.761538986984</v>
      </c>
      <c r="H24" s="1013">
        <f>+landbouw!G8</f>
        <v>0</v>
      </c>
      <c r="I24" s="1013">
        <f>+landbouw!H8</f>
        <v>0</v>
      </c>
      <c r="J24" s="1013">
        <f>+landbouw!I8</f>
        <v>0</v>
      </c>
      <c r="K24" s="1013">
        <f>+landbouw!J8</f>
        <v>412.68871961256031</v>
      </c>
      <c r="L24" s="1013">
        <f>+landbouw!K8</f>
        <v>0</v>
      </c>
      <c r="M24" s="1013">
        <f>+landbouw!L8</f>
        <v>0</v>
      </c>
      <c r="N24" s="1013">
        <f>+landbouw!M8</f>
        <v>0</v>
      </c>
      <c r="O24" s="1013">
        <f>+landbouw!N8</f>
        <v>0</v>
      </c>
      <c r="P24" s="1013">
        <f>+landbouw!O8</f>
        <v>0</v>
      </c>
      <c r="Q24" s="1014">
        <f>+landbouw!P8</f>
        <v>0</v>
      </c>
      <c r="R24" s="700">
        <f>SUM(C24:Q24)</f>
        <v>15257.416486750873</v>
      </c>
      <c r="S24" s="67"/>
    </row>
    <row r="25" spans="1:19" s="473" customFormat="1" ht="15" thickBot="1">
      <c r="A25" s="831" t="s">
        <v>836</v>
      </c>
      <c r="B25" s="1016"/>
      <c r="C25" s="1017">
        <f>IF(Onbekend_ele_kWh="---",0,Onbekend_ele_kWh)/1000+IF(REST_rest_ele_kWh="---",0,REST_rest_ele_kWh)/1000</f>
        <v>393.31279999999998</v>
      </c>
      <c r="D25" s="1017"/>
      <c r="E25" s="1017">
        <f>IF(onbekend_gas_kWh="---",0,onbekend_gas_kWh)/1000+IF(REST_rest_gas_kWh="---",0,REST_rest_gas_kWh)/1000</f>
        <v>448.85300000000001</v>
      </c>
      <c r="F25" s="1017"/>
      <c r="G25" s="1017"/>
      <c r="H25" s="1017"/>
      <c r="I25" s="1017"/>
      <c r="J25" s="1017"/>
      <c r="K25" s="1017"/>
      <c r="L25" s="1017"/>
      <c r="M25" s="1017"/>
      <c r="N25" s="1017"/>
      <c r="O25" s="1017"/>
      <c r="P25" s="1017"/>
      <c r="Q25" s="1018"/>
      <c r="R25" s="700">
        <f>SUM(C25:Q25)</f>
        <v>842.16579999999999</v>
      </c>
      <c r="S25" s="67"/>
    </row>
    <row r="26" spans="1:19" s="473" customFormat="1" ht="15.75" thickBot="1">
      <c r="A26" s="705" t="s">
        <v>837</v>
      </c>
      <c r="B26" s="817"/>
      <c r="C26" s="812">
        <f>SUM(C24:C25)</f>
        <v>3241.828274</v>
      </c>
      <c r="D26" s="812">
        <f t="shared" ref="D26:R26" si="2">SUM(D24:D25)</f>
        <v>0</v>
      </c>
      <c r="E26" s="812">
        <f t="shared" si="2"/>
        <v>494.57718399999999</v>
      </c>
      <c r="F26" s="812">
        <f t="shared" si="2"/>
        <v>83.726570151327394</v>
      </c>
      <c r="G26" s="812">
        <f t="shared" si="2"/>
        <v>11866.761538986984</v>
      </c>
      <c r="H26" s="812">
        <f t="shared" si="2"/>
        <v>0</v>
      </c>
      <c r="I26" s="812">
        <f t="shared" si="2"/>
        <v>0</v>
      </c>
      <c r="J26" s="812">
        <f t="shared" si="2"/>
        <v>0</v>
      </c>
      <c r="K26" s="812">
        <f t="shared" si="2"/>
        <v>412.68871961256031</v>
      </c>
      <c r="L26" s="812">
        <f t="shared" si="2"/>
        <v>0</v>
      </c>
      <c r="M26" s="812">
        <f t="shared" si="2"/>
        <v>0</v>
      </c>
      <c r="N26" s="812">
        <f t="shared" si="2"/>
        <v>0</v>
      </c>
      <c r="O26" s="812">
        <f t="shared" si="2"/>
        <v>0</v>
      </c>
      <c r="P26" s="812">
        <f t="shared" si="2"/>
        <v>0</v>
      </c>
      <c r="Q26" s="812">
        <f t="shared" si="2"/>
        <v>0</v>
      </c>
      <c r="R26" s="812">
        <f t="shared" si="2"/>
        <v>16099.582286750874</v>
      </c>
      <c r="S26" s="67"/>
    </row>
    <row r="27" spans="1:19" s="473" customFormat="1" ht="17.25" thickTop="1" thickBot="1">
      <c r="A27" s="706" t="s">
        <v>116</v>
      </c>
      <c r="B27" s="805"/>
      <c r="C27" s="707">
        <f ca="1">C22+C16+C26</f>
        <v>20061.03768445642</v>
      </c>
      <c r="D27" s="707">
        <f t="shared" ref="D27:R27" ca="1" si="3">D22+D16+D26</f>
        <v>0</v>
      </c>
      <c r="E27" s="707">
        <f t="shared" ca="1" si="3"/>
        <v>9709.0401127342993</v>
      </c>
      <c r="F27" s="707">
        <f t="shared" si="3"/>
        <v>2995.772115721164</v>
      </c>
      <c r="G27" s="707">
        <f t="shared" ca="1" si="3"/>
        <v>53092.382918522409</v>
      </c>
      <c r="H27" s="707">
        <f t="shared" si="3"/>
        <v>22068.736368693859</v>
      </c>
      <c r="I27" s="707">
        <f t="shared" si="3"/>
        <v>6328.7285773941039</v>
      </c>
      <c r="J27" s="707">
        <f t="shared" si="3"/>
        <v>0</v>
      </c>
      <c r="K27" s="707">
        <f t="shared" si="3"/>
        <v>1837.2675120407205</v>
      </c>
      <c r="L27" s="707">
        <f t="shared" si="3"/>
        <v>0</v>
      </c>
      <c r="M27" s="707">
        <f t="shared" ca="1" si="3"/>
        <v>0</v>
      </c>
      <c r="N27" s="707">
        <f t="shared" si="3"/>
        <v>1475.2232899850994</v>
      </c>
      <c r="O27" s="707">
        <f t="shared" ca="1" si="3"/>
        <v>4897.1300380150278</v>
      </c>
      <c r="P27" s="707">
        <f t="shared" si="3"/>
        <v>161.02333333333334</v>
      </c>
      <c r="Q27" s="707">
        <f t="shared" si="3"/>
        <v>1239.3333333333333</v>
      </c>
      <c r="R27" s="707">
        <f t="shared" ca="1" si="3"/>
        <v>123865.67528422977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985.61929605101921</v>
      </c>
      <c r="D40" s="1013">
        <f ca="1">tertiair!C20</f>
        <v>0</v>
      </c>
      <c r="E40" s="1013">
        <f ca="1">tertiair!D20</f>
        <v>424.96502991360006</v>
      </c>
      <c r="F40" s="1013">
        <f>tertiair!E20</f>
        <v>23.660717892742483</v>
      </c>
      <c r="G40" s="1013">
        <f ca="1">tertiair!F20</f>
        <v>239.30243855607546</v>
      </c>
      <c r="H40" s="1013">
        <f>tertiair!G20</f>
        <v>0</v>
      </c>
      <c r="I40" s="1013">
        <f>tertiair!H20</f>
        <v>0</v>
      </c>
      <c r="J40" s="1013">
        <f>tertiair!I20</f>
        <v>0</v>
      </c>
      <c r="K40" s="1013">
        <f>tertiair!J20</f>
        <v>3.3216657975620122E-3</v>
      </c>
      <c r="L40" s="1013">
        <f>tertiair!K20</f>
        <v>0</v>
      </c>
      <c r="M40" s="1013">
        <f ca="1">tertiair!L20</f>
        <v>0</v>
      </c>
      <c r="N40" s="1013">
        <f>tertiair!M20</f>
        <v>0</v>
      </c>
      <c r="O40" s="1013">
        <f ca="1">tertiair!N20</f>
        <v>0</v>
      </c>
      <c r="P40" s="1013">
        <f>tertiair!O20</f>
        <v>0</v>
      </c>
      <c r="Q40" s="774">
        <f>tertiair!P20</f>
        <v>0</v>
      </c>
      <c r="R40" s="850">
        <f t="shared" ca="1" si="4"/>
        <v>1673.5508040792347</v>
      </c>
    </row>
    <row r="41" spans="1:18">
      <c r="A41" s="822" t="s">
        <v>225</v>
      </c>
      <c r="B41" s="829"/>
      <c r="C41" s="1013">
        <f ca="1">huishoudens!B12</f>
        <v>1994.5708118547814</v>
      </c>
      <c r="D41" s="1013">
        <f ca="1">huishoudens!C12</f>
        <v>0</v>
      </c>
      <c r="E41" s="1013">
        <f>huishoudens!D12</f>
        <v>1389.0763511394</v>
      </c>
      <c r="F41" s="1013">
        <f>huishoudens!E12</f>
        <v>590.7138737784918</v>
      </c>
      <c r="G41" s="1013">
        <f>huishoudens!F12</f>
        <v>10669.629522369201</v>
      </c>
      <c r="H41" s="1013">
        <f>huishoudens!G12</f>
        <v>0</v>
      </c>
      <c r="I41" s="1013">
        <f>huishoudens!H12</f>
        <v>0</v>
      </c>
      <c r="J41" s="1013">
        <f>huishoudens!I12</f>
        <v>0</v>
      </c>
      <c r="K41" s="1013">
        <f>huishoudens!J12</f>
        <v>504.27909215900354</v>
      </c>
      <c r="L41" s="1013">
        <f>huishoudens!K12</f>
        <v>0</v>
      </c>
      <c r="M41" s="1013">
        <f>huishoudens!L12</f>
        <v>0</v>
      </c>
      <c r="N41" s="1013">
        <f>huishoudens!M12</f>
        <v>0</v>
      </c>
      <c r="O41" s="1013">
        <f>huishoudens!N12</f>
        <v>0</v>
      </c>
      <c r="P41" s="1013">
        <f>huishoudens!O12</f>
        <v>0</v>
      </c>
      <c r="Q41" s="774">
        <f>huishoudens!P12</f>
        <v>0</v>
      </c>
      <c r="R41" s="850">
        <f t="shared" ca="1" si="4"/>
        <v>15148.26965130088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93.348986728545711</v>
      </c>
      <c r="D43" s="1013">
        <f ca="1">industrie!C22</f>
        <v>0</v>
      </c>
      <c r="E43" s="1013">
        <f>industrie!D22</f>
        <v>35.769560464000001</v>
      </c>
      <c r="F43" s="1013">
        <f>industrie!E22</f>
        <v>30.08451791586068</v>
      </c>
      <c r="G43" s="1013">
        <f>industrie!F22</f>
        <v>98.308947410682563</v>
      </c>
      <c r="H43" s="1013">
        <f>industrie!G22</f>
        <v>0</v>
      </c>
      <c r="I43" s="1013">
        <f>industrie!H22</f>
        <v>0</v>
      </c>
      <c r="J43" s="1013">
        <f>industrie!I22</f>
        <v>0</v>
      </c>
      <c r="K43" s="1013">
        <f>industrie!J22</f>
        <v>1.8478694767528569E-2</v>
      </c>
      <c r="L43" s="1013">
        <f>industrie!K22</f>
        <v>0</v>
      </c>
      <c r="M43" s="1013">
        <f>industrie!L22</f>
        <v>0</v>
      </c>
      <c r="N43" s="1013">
        <f>industrie!M22</f>
        <v>0</v>
      </c>
      <c r="O43" s="1013">
        <f>industrie!N22</f>
        <v>0</v>
      </c>
      <c r="P43" s="1013">
        <f>industrie!O22</f>
        <v>0</v>
      </c>
      <c r="Q43" s="774">
        <f>industrie!P22</f>
        <v>0</v>
      </c>
      <c r="R43" s="849">
        <f t="shared" ca="1" si="4"/>
        <v>257.53049121385646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3073.5390946343464</v>
      </c>
      <c r="D46" s="732">
        <f t="shared" ref="D46:Q46" ca="1" si="5">SUM(D39:D45)</f>
        <v>0</v>
      </c>
      <c r="E46" s="732">
        <f t="shared" ca="1" si="5"/>
        <v>1849.8109415170002</v>
      </c>
      <c r="F46" s="732">
        <f t="shared" si="5"/>
        <v>644.45910958709499</v>
      </c>
      <c r="G46" s="732">
        <f t="shared" ca="1" si="5"/>
        <v>11007.240908335958</v>
      </c>
      <c r="H46" s="732">
        <f t="shared" si="5"/>
        <v>0</v>
      </c>
      <c r="I46" s="732">
        <f t="shared" si="5"/>
        <v>0</v>
      </c>
      <c r="J46" s="732">
        <f t="shared" si="5"/>
        <v>0</v>
      </c>
      <c r="K46" s="732">
        <f t="shared" si="5"/>
        <v>504.30089251956861</v>
      </c>
      <c r="L46" s="732">
        <f t="shared" si="5"/>
        <v>0</v>
      </c>
      <c r="M46" s="732">
        <f t="shared" ca="1" si="5"/>
        <v>0</v>
      </c>
      <c r="N46" s="732">
        <f t="shared" si="5"/>
        <v>0</v>
      </c>
      <c r="O46" s="732">
        <f t="shared" ca="1" si="5"/>
        <v>0</v>
      </c>
      <c r="P46" s="732">
        <f t="shared" si="5"/>
        <v>0</v>
      </c>
      <c r="Q46" s="732">
        <f t="shared" si="5"/>
        <v>0</v>
      </c>
      <c r="R46" s="732">
        <f ca="1">SUM(R39:R45)</f>
        <v>17079.350946593971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136.71633378255592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136.71633378255592</v>
      </c>
    </row>
    <row r="50" spans="1:18">
      <c r="A50" s="825" t="s">
        <v>307</v>
      </c>
      <c r="B50" s="835"/>
      <c r="C50" s="703">
        <f ca="1">transport!B18</f>
        <v>2.1980392363940369</v>
      </c>
      <c r="D50" s="703">
        <f>transport!C18</f>
        <v>0</v>
      </c>
      <c r="E50" s="703">
        <f>transport!D18</f>
        <v>11.510570087328494</v>
      </c>
      <c r="F50" s="703">
        <f>transport!E18</f>
        <v>16.575229257257931</v>
      </c>
      <c r="G50" s="703">
        <f>transport!F18</f>
        <v>0</v>
      </c>
      <c r="H50" s="703">
        <f>transport!G18</f>
        <v>5755.6362766587044</v>
      </c>
      <c r="I50" s="703">
        <f>transport!H18</f>
        <v>1575.8534157711319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7361.7735310108164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2.1980392363940369</v>
      </c>
      <c r="D52" s="732">
        <f t="shared" ref="D52:Q52" ca="1" si="6">SUM(D48:D51)</f>
        <v>0</v>
      </c>
      <c r="E52" s="732">
        <f t="shared" si="6"/>
        <v>11.510570087328494</v>
      </c>
      <c r="F52" s="732">
        <f t="shared" si="6"/>
        <v>16.575229257257931</v>
      </c>
      <c r="G52" s="732">
        <f t="shared" si="6"/>
        <v>0</v>
      </c>
      <c r="H52" s="732">
        <f t="shared" si="6"/>
        <v>5892.3526104412604</v>
      </c>
      <c r="I52" s="732">
        <f t="shared" si="6"/>
        <v>1575.8534157711319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7498.4898647933724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520.90943194632939</v>
      </c>
      <c r="D54" s="703">
        <f ca="1">+landbouw!C12</f>
        <v>0</v>
      </c>
      <c r="E54" s="703">
        <f>+landbouw!D12</f>
        <v>9.2362851680000002</v>
      </c>
      <c r="F54" s="703">
        <f>+landbouw!E12</f>
        <v>19.005931424351321</v>
      </c>
      <c r="G54" s="703">
        <f>+landbouw!F12</f>
        <v>3168.4253309095252</v>
      </c>
      <c r="H54" s="703">
        <f>+landbouw!G12</f>
        <v>0</v>
      </c>
      <c r="I54" s="703">
        <f>+landbouw!H12</f>
        <v>0</v>
      </c>
      <c r="J54" s="703">
        <f>+landbouw!I12</f>
        <v>0</v>
      </c>
      <c r="K54" s="703">
        <f>+landbouw!J12</f>
        <v>146.09180674284633</v>
      </c>
      <c r="L54" s="703">
        <f>+landbouw!K12</f>
        <v>0</v>
      </c>
      <c r="M54" s="703">
        <f>+landbouw!L12</f>
        <v>0</v>
      </c>
      <c r="N54" s="703">
        <f>+landbouw!M12</f>
        <v>0</v>
      </c>
      <c r="O54" s="703">
        <f>+landbouw!N12</f>
        <v>0</v>
      </c>
      <c r="P54" s="703">
        <f>+landbouw!O12</f>
        <v>0</v>
      </c>
      <c r="Q54" s="704">
        <f>+landbouw!P12</f>
        <v>0</v>
      </c>
      <c r="R54" s="731">
        <f ca="1">SUM(C54:Q54)</f>
        <v>3863.6687861910523</v>
      </c>
    </row>
    <row r="55" spans="1:18" ht="15" thickBot="1">
      <c r="A55" s="825" t="s">
        <v>836</v>
      </c>
      <c r="B55" s="835"/>
      <c r="C55" s="703">
        <f ca="1">C25*'EF ele_warmte'!B12</f>
        <v>71.92530603933109</v>
      </c>
      <c r="D55" s="703"/>
      <c r="E55" s="703">
        <f>E25*EF_CO2_aardgas</f>
        <v>90.668306000000001</v>
      </c>
      <c r="F55" s="703"/>
      <c r="G55" s="703"/>
      <c r="H55" s="703"/>
      <c r="I55" s="703"/>
      <c r="J55" s="703"/>
      <c r="K55" s="703"/>
      <c r="L55" s="703"/>
      <c r="M55" s="703"/>
      <c r="N55" s="703"/>
      <c r="O55" s="703"/>
      <c r="P55" s="703"/>
      <c r="Q55" s="704"/>
      <c r="R55" s="731">
        <f ca="1">SUM(C55:Q55)</f>
        <v>162.59361203933111</v>
      </c>
    </row>
    <row r="56" spans="1:18" ht="15.75" thickBot="1">
      <c r="A56" s="823" t="s">
        <v>837</v>
      </c>
      <c r="B56" s="836"/>
      <c r="C56" s="732">
        <f ca="1">SUM(C54:C55)</f>
        <v>592.83473798566047</v>
      </c>
      <c r="D56" s="732">
        <f t="shared" ref="D56:Q56" ca="1" si="7">SUM(D54:D55)</f>
        <v>0</v>
      </c>
      <c r="E56" s="732">
        <f t="shared" si="7"/>
        <v>99.904591167999996</v>
      </c>
      <c r="F56" s="732">
        <f t="shared" si="7"/>
        <v>19.005931424351321</v>
      </c>
      <c r="G56" s="732">
        <f t="shared" si="7"/>
        <v>3168.4253309095252</v>
      </c>
      <c r="H56" s="732">
        <f t="shared" si="7"/>
        <v>0</v>
      </c>
      <c r="I56" s="732">
        <f t="shared" si="7"/>
        <v>0</v>
      </c>
      <c r="J56" s="732">
        <f t="shared" si="7"/>
        <v>0</v>
      </c>
      <c r="K56" s="732">
        <f t="shared" si="7"/>
        <v>146.09180674284633</v>
      </c>
      <c r="L56" s="732">
        <f t="shared" si="7"/>
        <v>0</v>
      </c>
      <c r="M56" s="732">
        <f t="shared" si="7"/>
        <v>0</v>
      </c>
      <c r="N56" s="732">
        <f t="shared" si="7"/>
        <v>0</v>
      </c>
      <c r="O56" s="732">
        <f t="shared" si="7"/>
        <v>0</v>
      </c>
      <c r="P56" s="732">
        <f t="shared" si="7"/>
        <v>0</v>
      </c>
      <c r="Q56" s="733">
        <f t="shared" si="7"/>
        <v>0</v>
      </c>
      <c r="R56" s="734">
        <f ca="1">SUM(R54:R55)</f>
        <v>4026.2623982303835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3668.5718718564008</v>
      </c>
      <c r="D61" s="740">
        <f t="shared" ref="D61:Q61" ca="1" si="8">D46+D52+D56</f>
        <v>0</v>
      </c>
      <c r="E61" s="740">
        <f t="shared" ca="1" si="8"/>
        <v>1961.2261027723287</v>
      </c>
      <c r="F61" s="740">
        <f t="shared" si="8"/>
        <v>680.04027026870415</v>
      </c>
      <c r="G61" s="740">
        <f t="shared" ca="1" si="8"/>
        <v>14175.666239245484</v>
      </c>
      <c r="H61" s="740">
        <f t="shared" si="8"/>
        <v>5892.3526104412604</v>
      </c>
      <c r="I61" s="740">
        <f t="shared" si="8"/>
        <v>1575.8534157711319</v>
      </c>
      <c r="J61" s="740">
        <f t="shared" si="8"/>
        <v>0</v>
      </c>
      <c r="K61" s="740">
        <f t="shared" si="8"/>
        <v>650.39269926241491</v>
      </c>
      <c r="L61" s="740">
        <f t="shared" si="8"/>
        <v>0</v>
      </c>
      <c r="M61" s="740">
        <f t="shared" ca="1" si="8"/>
        <v>0</v>
      </c>
      <c r="N61" s="740">
        <f t="shared" si="8"/>
        <v>0</v>
      </c>
      <c r="O61" s="740">
        <f t="shared" ca="1" si="8"/>
        <v>0</v>
      </c>
      <c r="P61" s="740">
        <f t="shared" si="8"/>
        <v>0</v>
      </c>
      <c r="Q61" s="740">
        <f t="shared" si="8"/>
        <v>0</v>
      </c>
      <c r="R61" s="740">
        <f ca="1">R46+R52+R56</f>
        <v>28604.10320961773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0.18287049401730912</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3461.1649611242906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3461.1649611242906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3461.1649611242906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3461.1649611242906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10907.012760986967</v>
      </c>
      <c r="C4" s="477">
        <f>huishoudens!C8</f>
        <v>0</v>
      </c>
      <c r="D4" s="477">
        <f>huishoudens!D8</f>
        <v>6876.6155996999996</v>
      </c>
      <c r="E4" s="477">
        <f>huishoudens!E8</f>
        <v>2602.2637611387304</v>
      </c>
      <c r="F4" s="477">
        <f>huishoudens!F8</f>
        <v>39961.159259809741</v>
      </c>
      <c r="G4" s="477">
        <f>huishoudens!G8</f>
        <v>0</v>
      </c>
      <c r="H4" s="477">
        <f>huishoudens!H8</f>
        <v>0</v>
      </c>
      <c r="I4" s="477">
        <f>huishoudens!I8</f>
        <v>0</v>
      </c>
      <c r="J4" s="477">
        <f>huishoudens!J8</f>
        <v>1424.5172094887107</v>
      </c>
      <c r="K4" s="477">
        <f>huishoudens!K8</f>
        <v>0</v>
      </c>
      <c r="L4" s="477">
        <f>huishoudens!L8</f>
        <v>0</v>
      </c>
      <c r="M4" s="477">
        <f>huishoudens!M8</f>
        <v>0</v>
      </c>
      <c r="N4" s="477">
        <f>huishoudens!N8</f>
        <v>4365.9685562398699</v>
      </c>
      <c r="O4" s="477">
        <f>huishoudens!O8</f>
        <v>157.89666666666668</v>
      </c>
      <c r="P4" s="478">
        <f>huishoudens!P8</f>
        <v>1220.2666666666667</v>
      </c>
      <c r="Q4" s="479">
        <f>SUM(B4:P4)</f>
        <v>67515.700480697342</v>
      </c>
    </row>
    <row r="5" spans="1:17">
      <c r="A5" s="476" t="s">
        <v>156</v>
      </c>
      <c r="B5" s="477">
        <f ca="1">tertiair!B16</f>
        <v>5013.8339999999998</v>
      </c>
      <c r="C5" s="477">
        <f ca="1">tertiair!C16</f>
        <v>0</v>
      </c>
      <c r="D5" s="477">
        <f ca="1">tertiair!D16</f>
        <v>2103.7872768000002</v>
      </c>
      <c r="E5" s="477">
        <f>tertiair!E16</f>
        <v>104.23223741296248</v>
      </c>
      <c r="F5" s="477">
        <f ca="1">tertiair!F16</f>
        <v>896.26381481676196</v>
      </c>
      <c r="G5" s="477">
        <f>tertiair!G16</f>
        <v>0</v>
      </c>
      <c r="H5" s="477">
        <f>tertiair!H16</f>
        <v>0</v>
      </c>
      <c r="I5" s="477">
        <f>tertiair!I16</f>
        <v>0</v>
      </c>
      <c r="J5" s="477">
        <f>tertiair!J16</f>
        <v>9.3832367162768708E-3</v>
      </c>
      <c r="K5" s="477">
        <f>tertiair!K16</f>
        <v>0</v>
      </c>
      <c r="L5" s="477">
        <f ca="1">tertiair!L16</f>
        <v>0</v>
      </c>
      <c r="M5" s="477">
        <f>tertiair!M16</f>
        <v>0</v>
      </c>
      <c r="N5" s="477">
        <f ca="1">tertiair!N16</f>
        <v>378.81692259275906</v>
      </c>
      <c r="O5" s="477">
        <f>tertiair!O16</f>
        <v>3.1266666666666669</v>
      </c>
      <c r="P5" s="478">
        <f>tertiair!P16</f>
        <v>19.066666666666666</v>
      </c>
      <c r="Q5" s="476">
        <f t="shared" ref="Q5:Q14" ca="1" si="0">SUM(B5:P5)</f>
        <v>8519.1369681925353</v>
      </c>
    </row>
    <row r="6" spans="1:17">
      <c r="A6" s="476" t="s">
        <v>194</v>
      </c>
      <c r="B6" s="477">
        <f>'openbare verlichting'!B8</f>
        <v>375.87799999999999</v>
      </c>
      <c r="C6" s="477"/>
      <c r="D6" s="477"/>
      <c r="E6" s="477"/>
      <c r="F6" s="477"/>
      <c r="G6" s="477"/>
      <c r="H6" s="477"/>
      <c r="I6" s="477"/>
      <c r="J6" s="477"/>
      <c r="K6" s="477"/>
      <c r="L6" s="477"/>
      <c r="M6" s="477"/>
      <c r="N6" s="477"/>
      <c r="O6" s="477"/>
      <c r="P6" s="478"/>
      <c r="Q6" s="476">
        <f t="shared" si="0"/>
        <v>375.87799999999999</v>
      </c>
    </row>
    <row r="7" spans="1:17">
      <c r="A7" s="476" t="s">
        <v>112</v>
      </c>
      <c r="B7" s="477">
        <f>landbouw!B8</f>
        <v>2848.5154739999998</v>
      </c>
      <c r="C7" s="477">
        <f>landbouw!C8</f>
        <v>0</v>
      </c>
      <c r="D7" s="477">
        <f>landbouw!D8</f>
        <v>45.724184000000001</v>
      </c>
      <c r="E7" s="477">
        <f>landbouw!E8</f>
        <v>83.726570151327394</v>
      </c>
      <c r="F7" s="477">
        <f>landbouw!F8</f>
        <v>11866.761538986984</v>
      </c>
      <c r="G7" s="477">
        <f>landbouw!G8</f>
        <v>0</v>
      </c>
      <c r="H7" s="477">
        <f>landbouw!H8</f>
        <v>0</v>
      </c>
      <c r="I7" s="477">
        <f>landbouw!I8</f>
        <v>0</v>
      </c>
      <c r="J7" s="477">
        <f>landbouw!J8</f>
        <v>412.68871961256031</v>
      </c>
      <c r="K7" s="477">
        <f>landbouw!K8</f>
        <v>0</v>
      </c>
      <c r="L7" s="477">
        <f>landbouw!L8</f>
        <v>0</v>
      </c>
      <c r="M7" s="477">
        <f>landbouw!M8</f>
        <v>0</v>
      </c>
      <c r="N7" s="477">
        <f>landbouw!N8</f>
        <v>0</v>
      </c>
      <c r="O7" s="477">
        <f>landbouw!O8</f>
        <v>0</v>
      </c>
      <c r="P7" s="478">
        <f>landbouw!P8</f>
        <v>0</v>
      </c>
      <c r="Q7" s="476">
        <f t="shared" si="0"/>
        <v>15257.416486750873</v>
      </c>
    </row>
    <row r="8" spans="1:17">
      <c r="A8" s="476" t="s">
        <v>635</v>
      </c>
      <c r="B8" s="477">
        <f>industrie!B18</f>
        <v>510.46500000000003</v>
      </c>
      <c r="C8" s="477">
        <f>industrie!C18</f>
        <v>0</v>
      </c>
      <c r="D8" s="477">
        <f>industrie!D18</f>
        <v>177.077032</v>
      </c>
      <c r="E8" s="477">
        <f>industrie!E18</f>
        <v>132.53091592890166</v>
      </c>
      <c r="F8" s="477">
        <f>industrie!F18</f>
        <v>368.19830490892343</v>
      </c>
      <c r="G8" s="477">
        <f>industrie!G18</f>
        <v>0</v>
      </c>
      <c r="H8" s="477">
        <f>industrie!H18</f>
        <v>0</v>
      </c>
      <c r="I8" s="477">
        <f>industrie!I18</f>
        <v>0</v>
      </c>
      <c r="J8" s="477">
        <f>industrie!J18</f>
        <v>5.2199702733131549E-2</v>
      </c>
      <c r="K8" s="477">
        <f>industrie!K18</f>
        <v>0</v>
      </c>
      <c r="L8" s="477">
        <f>industrie!L18</f>
        <v>0</v>
      </c>
      <c r="M8" s="477">
        <f>industrie!M18</f>
        <v>0</v>
      </c>
      <c r="N8" s="477">
        <f>industrie!N18</f>
        <v>152.3445591823988</v>
      </c>
      <c r="O8" s="477">
        <f>industrie!O18</f>
        <v>0</v>
      </c>
      <c r="P8" s="478">
        <f>industrie!P18</f>
        <v>0</v>
      </c>
      <c r="Q8" s="476">
        <f t="shared" si="0"/>
        <v>1340.6680117229571</v>
      </c>
    </row>
    <row r="9" spans="1:17" s="482" customFormat="1">
      <c r="A9" s="480" t="s">
        <v>561</v>
      </c>
      <c r="B9" s="481">
        <f>transport!B14</f>
        <v>12.019649469454526</v>
      </c>
      <c r="C9" s="481">
        <f>transport!C14</f>
        <v>0</v>
      </c>
      <c r="D9" s="481">
        <f>transport!D14</f>
        <v>56.983020234299474</v>
      </c>
      <c r="E9" s="481">
        <f>transport!E14</f>
        <v>73.018631089241978</v>
      </c>
      <c r="F9" s="481">
        <f>transport!F14</f>
        <v>0</v>
      </c>
      <c r="G9" s="481">
        <f>transport!G14</f>
        <v>21556.6901747517</v>
      </c>
      <c r="H9" s="481">
        <f>transport!H14</f>
        <v>6328.7285773941039</v>
      </c>
      <c r="I9" s="481">
        <f>transport!I14</f>
        <v>0</v>
      </c>
      <c r="J9" s="481">
        <f>transport!J14</f>
        <v>0</v>
      </c>
      <c r="K9" s="481">
        <f>transport!K14</f>
        <v>0</v>
      </c>
      <c r="L9" s="481">
        <f>transport!L14</f>
        <v>0</v>
      </c>
      <c r="M9" s="481">
        <f>transport!M14</f>
        <v>1446.1413266362206</v>
      </c>
      <c r="N9" s="481">
        <f>transport!N14</f>
        <v>0</v>
      </c>
      <c r="O9" s="481">
        <f>transport!O14</f>
        <v>0</v>
      </c>
      <c r="P9" s="481">
        <f>transport!P14</f>
        <v>0</v>
      </c>
      <c r="Q9" s="480">
        <f>SUM(B9:P9)</f>
        <v>29473.581379575022</v>
      </c>
    </row>
    <row r="10" spans="1:17">
      <c r="A10" s="476" t="s">
        <v>551</v>
      </c>
      <c r="B10" s="477">
        <f>transport!B54</f>
        <v>0</v>
      </c>
      <c r="C10" s="477">
        <f>transport!C54</f>
        <v>0</v>
      </c>
      <c r="D10" s="477">
        <f>transport!D54</f>
        <v>0</v>
      </c>
      <c r="E10" s="477">
        <f>transport!E54</f>
        <v>0</v>
      </c>
      <c r="F10" s="477">
        <f>transport!F54</f>
        <v>0</v>
      </c>
      <c r="G10" s="477">
        <f>transport!G54</f>
        <v>512.04619394215695</v>
      </c>
      <c r="H10" s="477">
        <f>transport!H54</f>
        <v>0</v>
      </c>
      <c r="I10" s="477">
        <f>transport!I54</f>
        <v>0</v>
      </c>
      <c r="J10" s="477">
        <f>transport!J54</f>
        <v>0</v>
      </c>
      <c r="K10" s="477">
        <f>transport!K54</f>
        <v>0</v>
      </c>
      <c r="L10" s="477">
        <f>transport!L54</f>
        <v>0</v>
      </c>
      <c r="M10" s="477">
        <f>transport!M54</f>
        <v>29.081963348878929</v>
      </c>
      <c r="N10" s="477">
        <f>transport!N54</f>
        <v>0</v>
      </c>
      <c r="O10" s="477">
        <f>transport!O54</f>
        <v>0</v>
      </c>
      <c r="P10" s="478">
        <f>transport!P54</f>
        <v>0</v>
      </c>
      <c r="Q10" s="476">
        <f t="shared" si="0"/>
        <v>541.1281572910359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393.31279999999998</v>
      </c>
      <c r="C14" s="484"/>
      <c r="D14" s="484">
        <f>'SEAP template'!E25</f>
        <v>448.85300000000001</v>
      </c>
      <c r="E14" s="484"/>
      <c r="F14" s="484"/>
      <c r="G14" s="484"/>
      <c r="H14" s="484"/>
      <c r="I14" s="484"/>
      <c r="J14" s="484"/>
      <c r="K14" s="484"/>
      <c r="L14" s="484"/>
      <c r="M14" s="484"/>
      <c r="N14" s="484"/>
      <c r="O14" s="484"/>
      <c r="P14" s="485"/>
      <c r="Q14" s="476">
        <f t="shared" si="0"/>
        <v>842.16579999999999</v>
      </c>
    </row>
    <row r="15" spans="1:17" s="486" customFormat="1">
      <c r="A15" s="1039" t="s">
        <v>555</v>
      </c>
      <c r="B15" s="987">
        <f ca="1">SUM(B4:B14)</f>
        <v>20061.03768445642</v>
      </c>
      <c r="C15" s="987">
        <f t="shared" ref="C15:Q15" ca="1" si="1">SUM(C4:C14)</f>
        <v>0</v>
      </c>
      <c r="D15" s="987">
        <f t="shared" ca="1" si="1"/>
        <v>9709.0401127342993</v>
      </c>
      <c r="E15" s="987">
        <f t="shared" si="1"/>
        <v>2995.772115721164</v>
      </c>
      <c r="F15" s="987">
        <f t="shared" ca="1" si="1"/>
        <v>53092.382918522409</v>
      </c>
      <c r="G15" s="987">
        <f t="shared" si="1"/>
        <v>22068.736368693859</v>
      </c>
      <c r="H15" s="987">
        <f t="shared" si="1"/>
        <v>6328.7285773941039</v>
      </c>
      <c r="I15" s="987">
        <f t="shared" si="1"/>
        <v>0</v>
      </c>
      <c r="J15" s="987">
        <f t="shared" si="1"/>
        <v>1837.2675120407205</v>
      </c>
      <c r="K15" s="987">
        <f t="shared" si="1"/>
        <v>0</v>
      </c>
      <c r="L15" s="987">
        <f t="shared" ca="1" si="1"/>
        <v>0</v>
      </c>
      <c r="M15" s="987">
        <f t="shared" si="1"/>
        <v>1475.2232899850994</v>
      </c>
      <c r="N15" s="987">
        <f t="shared" ca="1" si="1"/>
        <v>4897.1300380150278</v>
      </c>
      <c r="O15" s="987">
        <f t="shared" si="1"/>
        <v>161.02333333333334</v>
      </c>
      <c r="P15" s="987">
        <f t="shared" si="1"/>
        <v>1239.3333333333333</v>
      </c>
      <c r="Q15" s="987">
        <f t="shared" ca="1" si="1"/>
        <v>123865.67528422979</v>
      </c>
    </row>
    <row r="17" spans="1:17">
      <c r="A17" s="487" t="s">
        <v>556</v>
      </c>
      <c r="B17" s="786">
        <f ca="1">huishoudens!B10</f>
        <v>0.18287049401730912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1994.5708118547814</v>
      </c>
      <c r="C22" s="477">
        <f t="shared" ref="C22:C32" ca="1" si="3">C4*$C$17</f>
        <v>0</v>
      </c>
      <c r="D22" s="477">
        <f t="shared" ref="D22:D32" si="4">D4*$D$17</f>
        <v>1389.0763511394</v>
      </c>
      <c r="E22" s="477">
        <f t="shared" ref="E22:E32" si="5">E4*$E$17</f>
        <v>590.7138737784918</v>
      </c>
      <c r="F22" s="477">
        <f t="shared" ref="F22:F32" si="6">F4*$F$17</f>
        <v>10669.629522369201</v>
      </c>
      <c r="G22" s="477">
        <f t="shared" ref="G22:G32" si="7">G4*$G$17</f>
        <v>0</v>
      </c>
      <c r="H22" s="477">
        <f t="shared" ref="H22:H32" si="8">H4*$H$17</f>
        <v>0</v>
      </c>
      <c r="I22" s="477">
        <f t="shared" ref="I22:I32" si="9">I4*$I$17</f>
        <v>0</v>
      </c>
      <c r="J22" s="477">
        <f t="shared" ref="J22:J32" si="10">J4*$J$17</f>
        <v>504.27909215900354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15148.26965130088</v>
      </c>
    </row>
    <row r="23" spans="1:17">
      <c r="A23" s="476" t="s">
        <v>156</v>
      </c>
      <c r="B23" s="477">
        <f t="shared" ca="1" si="2"/>
        <v>916.88230050078107</v>
      </c>
      <c r="C23" s="477">
        <f t="shared" ca="1" si="3"/>
        <v>0</v>
      </c>
      <c r="D23" s="477">
        <f t="shared" ca="1" si="4"/>
        <v>424.96502991360006</v>
      </c>
      <c r="E23" s="477">
        <f t="shared" si="5"/>
        <v>23.660717892742483</v>
      </c>
      <c r="F23" s="477">
        <f t="shared" ca="1" si="6"/>
        <v>239.30243855607546</v>
      </c>
      <c r="G23" s="477">
        <f t="shared" si="7"/>
        <v>0</v>
      </c>
      <c r="H23" s="477">
        <f t="shared" si="8"/>
        <v>0</v>
      </c>
      <c r="I23" s="477">
        <f t="shared" si="9"/>
        <v>0</v>
      </c>
      <c r="J23" s="477">
        <f t="shared" si="10"/>
        <v>3.3216657975620122E-3</v>
      </c>
      <c r="K23" s="477">
        <f t="shared" si="11"/>
        <v>0</v>
      </c>
      <c r="L23" s="477">
        <f t="shared" ca="1" si="12"/>
        <v>0</v>
      </c>
      <c r="M23" s="477">
        <f t="shared" si="13"/>
        <v>0</v>
      </c>
      <c r="N23" s="477">
        <f t="shared" ca="1" si="14"/>
        <v>0</v>
      </c>
      <c r="O23" s="477">
        <f t="shared" si="15"/>
        <v>0</v>
      </c>
      <c r="P23" s="478">
        <f t="shared" si="16"/>
        <v>0</v>
      </c>
      <c r="Q23" s="476">
        <f t="shared" ref="Q23:Q32" ca="1" si="17">SUM(B23:P23)</f>
        <v>1604.8138085289966</v>
      </c>
    </row>
    <row r="24" spans="1:17">
      <c r="A24" s="476" t="s">
        <v>194</v>
      </c>
      <c r="B24" s="477">
        <f t="shared" ca="1" si="2"/>
        <v>68.73699555023812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68.73699555023812</v>
      </c>
    </row>
    <row r="25" spans="1:17">
      <c r="A25" s="476" t="s">
        <v>112</v>
      </c>
      <c r="B25" s="477">
        <f t="shared" ca="1" si="2"/>
        <v>520.90943194632939</v>
      </c>
      <c r="C25" s="477">
        <f t="shared" ca="1" si="3"/>
        <v>0</v>
      </c>
      <c r="D25" s="477">
        <f t="shared" si="4"/>
        <v>9.2362851680000002</v>
      </c>
      <c r="E25" s="477">
        <f t="shared" si="5"/>
        <v>19.005931424351321</v>
      </c>
      <c r="F25" s="477">
        <f t="shared" si="6"/>
        <v>3168.4253309095252</v>
      </c>
      <c r="G25" s="477">
        <f t="shared" si="7"/>
        <v>0</v>
      </c>
      <c r="H25" s="477">
        <f t="shared" si="8"/>
        <v>0</v>
      </c>
      <c r="I25" s="477">
        <f t="shared" si="9"/>
        <v>0</v>
      </c>
      <c r="J25" s="477">
        <f t="shared" si="10"/>
        <v>146.09180674284633</v>
      </c>
      <c r="K25" s="477">
        <f t="shared" si="11"/>
        <v>0</v>
      </c>
      <c r="L25" s="477">
        <f t="shared" si="12"/>
        <v>0</v>
      </c>
      <c r="M25" s="477">
        <f t="shared" si="13"/>
        <v>0</v>
      </c>
      <c r="N25" s="477">
        <f t="shared" si="14"/>
        <v>0</v>
      </c>
      <c r="O25" s="477">
        <f t="shared" si="15"/>
        <v>0</v>
      </c>
      <c r="P25" s="478">
        <f t="shared" si="16"/>
        <v>0</v>
      </c>
      <c r="Q25" s="476">
        <f t="shared" ca="1" si="17"/>
        <v>3863.6687861910523</v>
      </c>
    </row>
    <row r="26" spans="1:17">
      <c r="A26" s="476" t="s">
        <v>635</v>
      </c>
      <c r="B26" s="477">
        <f t="shared" ca="1" si="2"/>
        <v>93.348986728545711</v>
      </c>
      <c r="C26" s="477">
        <f t="shared" ca="1" si="3"/>
        <v>0</v>
      </c>
      <c r="D26" s="477">
        <f t="shared" si="4"/>
        <v>35.769560464000001</v>
      </c>
      <c r="E26" s="477">
        <f t="shared" si="5"/>
        <v>30.08451791586068</v>
      </c>
      <c r="F26" s="477">
        <f t="shared" si="6"/>
        <v>98.308947410682563</v>
      </c>
      <c r="G26" s="477">
        <f t="shared" si="7"/>
        <v>0</v>
      </c>
      <c r="H26" s="477">
        <f t="shared" si="8"/>
        <v>0</v>
      </c>
      <c r="I26" s="477">
        <f t="shared" si="9"/>
        <v>0</v>
      </c>
      <c r="J26" s="477">
        <f t="shared" si="10"/>
        <v>1.8478694767528569E-2</v>
      </c>
      <c r="K26" s="477">
        <f t="shared" si="11"/>
        <v>0</v>
      </c>
      <c r="L26" s="477">
        <f t="shared" si="12"/>
        <v>0</v>
      </c>
      <c r="M26" s="477">
        <f t="shared" si="13"/>
        <v>0</v>
      </c>
      <c r="N26" s="477">
        <f t="shared" si="14"/>
        <v>0</v>
      </c>
      <c r="O26" s="477">
        <f t="shared" si="15"/>
        <v>0</v>
      </c>
      <c r="P26" s="478">
        <f t="shared" si="16"/>
        <v>0</v>
      </c>
      <c r="Q26" s="476">
        <f t="shared" ca="1" si="17"/>
        <v>257.53049121385646</v>
      </c>
    </row>
    <row r="27" spans="1:17" s="482" customFormat="1">
      <c r="A27" s="480" t="s">
        <v>561</v>
      </c>
      <c r="B27" s="780">
        <f t="shared" ca="1" si="2"/>
        <v>2.1980392363940369</v>
      </c>
      <c r="C27" s="481">
        <f t="shared" ca="1" si="3"/>
        <v>0</v>
      </c>
      <c r="D27" s="481">
        <f t="shared" si="4"/>
        <v>11.510570087328494</v>
      </c>
      <c r="E27" s="481">
        <f t="shared" si="5"/>
        <v>16.575229257257931</v>
      </c>
      <c r="F27" s="481">
        <f t="shared" si="6"/>
        <v>0</v>
      </c>
      <c r="G27" s="481">
        <f t="shared" si="7"/>
        <v>5755.6362766587044</v>
      </c>
      <c r="H27" s="481">
        <f t="shared" si="8"/>
        <v>1575.8534157711319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7361.7735310108164</v>
      </c>
    </row>
    <row r="28" spans="1:17">
      <c r="A28" s="476" t="s">
        <v>551</v>
      </c>
      <c r="B28" s="477">
        <f t="shared" ca="1" si="2"/>
        <v>0</v>
      </c>
      <c r="C28" s="477">
        <f t="shared" ca="1" si="3"/>
        <v>0</v>
      </c>
      <c r="D28" s="477">
        <f t="shared" si="4"/>
        <v>0</v>
      </c>
      <c r="E28" s="477">
        <f t="shared" si="5"/>
        <v>0</v>
      </c>
      <c r="F28" s="477">
        <f t="shared" si="6"/>
        <v>0</v>
      </c>
      <c r="G28" s="477">
        <f t="shared" si="7"/>
        <v>136.71633378255592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136.71633378255592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71.92530603933109</v>
      </c>
      <c r="C32" s="477">
        <f t="shared" ca="1" si="3"/>
        <v>0</v>
      </c>
      <c r="D32" s="477">
        <f t="shared" si="4"/>
        <v>90.668306000000001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162.59361203933111</v>
      </c>
    </row>
    <row r="33" spans="1:17" s="486" customFormat="1">
      <c r="A33" s="1039" t="s">
        <v>555</v>
      </c>
      <c r="B33" s="987">
        <f ca="1">SUM(B22:B32)</f>
        <v>3668.5718718564008</v>
      </c>
      <c r="C33" s="987">
        <f t="shared" ref="C33:Q33" ca="1" si="18">SUM(C22:C32)</f>
        <v>0</v>
      </c>
      <c r="D33" s="987">
        <f t="shared" ca="1" si="18"/>
        <v>1961.2261027723287</v>
      </c>
      <c r="E33" s="987">
        <f t="shared" si="18"/>
        <v>680.04027026870415</v>
      </c>
      <c r="F33" s="987">
        <f t="shared" ca="1" si="18"/>
        <v>14175.666239245484</v>
      </c>
      <c r="G33" s="987">
        <f t="shared" si="18"/>
        <v>5892.3526104412604</v>
      </c>
      <c r="H33" s="987">
        <f t="shared" si="18"/>
        <v>1575.8534157711319</v>
      </c>
      <c r="I33" s="987">
        <f t="shared" si="18"/>
        <v>0</v>
      </c>
      <c r="J33" s="987">
        <f t="shared" si="18"/>
        <v>650.39269926241491</v>
      </c>
      <c r="K33" s="987">
        <f t="shared" si="18"/>
        <v>0</v>
      </c>
      <c r="L33" s="987">
        <f t="shared" ca="1" si="18"/>
        <v>0</v>
      </c>
      <c r="M33" s="987">
        <f t="shared" si="18"/>
        <v>0</v>
      </c>
      <c r="N33" s="987">
        <f t="shared" ca="1" si="18"/>
        <v>0</v>
      </c>
      <c r="O33" s="987">
        <f t="shared" si="18"/>
        <v>0</v>
      </c>
      <c r="P33" s="987">
        <f t="shared" si="18"/>
        <v>0</v>
      </c>
      <c r="Q33" s="987">
        <f t="shared" ca="1" si="18"/>
        <v>28604.103209617722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3461.1649611242906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3461.1649611242906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0.18287049401730912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0.18287049401730912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2019-08-12T08:32:45Z</dcterms:modified>
</cp:coreProperties>
</file>