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<sst xmlns="http://schemas.openxmlformats.org/spreadsheetml/2006/main" count="2401" uniqueCount="891">
  <si>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</si>
  <si>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</si>
  <si>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</si>
  <si>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</si>
  <si>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</si>
  <si>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</si>
  <si>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</si>
  <si>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</si>
  <si>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</si>
  <si>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</si>
  <si>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</si>
  <si>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</si>
  <si>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</si>
  <si>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</si>
  <si>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</si>
  <si>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</si>
  <si>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</si>
  <si>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</si>
  <si>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</si>
  <si>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</si>
  <si>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</si>
  <si>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</si>
  <si>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</si>
  <si>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</si>
  <si>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</si>
  <si>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</si>
  <si>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</si>
  <si>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</si>
  <si>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</si>
  <si>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</si>
  <si>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</si>
  <si>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</si>
  <si>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</si>
  <si>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</si>
  <si>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</si>
  <si>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</si>
  <si>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</si>
  <si>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</si>
  <si>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</si>
  <si>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</si>
  <si>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</si>
  <si>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</si>
  <si>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</si>
  <si>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</si>
  <si>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</si>
  <si>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</si>
  <si>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</si>
  <si>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</si>
  <si>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</si>
  <si>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</si>
  <si>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</si>
  <si>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</si>
  <si>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</si>
  <si>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</si>
  <si>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</si>
  <si>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</si>
  <si>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</si>
  <si>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</si>
  <si>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</si>
  <si>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</si>
  <si>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</si>
  <si>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</si>
  <si>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</si>
  <si>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</si>
  <si>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</si>
  <si>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</si>
  <si>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</si>
  <si>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</si>
  <si>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</si>
  <si>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</si>
  <si>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</si>
  <si>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</si>
  <si>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</si>
  <si>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</si>
  <si>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</si>
  <si>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</si>
  <si>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</si>
  <si>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</si>
  <si>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</si>
  <si>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</si>
  <si>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</si>
  <si>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</si>
  <si>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</si>
  <si>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</si>
  <si>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</si>
  <si>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</si>
  <si>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</si>
  <si>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</si>
  <si>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</si>
  <si>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</si>
  <si>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</si>
  <si>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</si>
  <si>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</si>
  <si>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</si>
  <si>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</si>
  <si>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</si>
  <si>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</si>
  <si>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</si>
  <si>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</si>
  <si>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</si>
  <si>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</si>
  <si>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</si>
  <si>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</si>
  <si>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</si>
  <si>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</si>
  <si>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</si>
  <si>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</si>
  <si>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</si>
  <si>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</si>
  <si>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</si>
  <si>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</si>
  <si>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</si>
  <si>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</si>
  <si>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</si>
  <si>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</si>
  <si>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</si>
  <si>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</si>
  <si>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</si>
  <si>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</si>
  <si>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</si>
  <si>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</si>
  <si>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</si>
  <si>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</si>
  <si>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</si>
  <si>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</si>
  <si>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</si>
  <si>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</si>
  <si>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</si>
  <si>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</si>
  <si>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</si>
  <si>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</si>
  <si>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</si>
  <si>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</si>
  <si>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</si>
  <si>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</si>
  <si>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</si>
  <si>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</si>
  <si>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</si>
  <si>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</si>
  <si>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</si>
  <si>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</si>
  <si>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</si>
  <si>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</si>
  <si>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</si>
  <si>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</si>
  <si>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</si>
  <si>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</si>
  <si>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</si>
  <si>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</si>
  <si>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</si>
  <si>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</si>
  <si>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</si>
  <si>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</si>
  <si>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</si>
  <si>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</si>
  <si>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</si>
  <si>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</si>
  <si>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</si>
  <si>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</si>
  <si>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</si>
  <si>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</si>
  <si>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</si>
  <si>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</si>
  <si>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</si>
  <si>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</si>
  <si>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</si>
  <si>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</si>
  <si>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</si>
  <si>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</si>
  <si>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</si>
  <si>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</si>
  <si>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</si>
  <si>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</si>
  <si>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</si>
  <si>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</si>
  <si>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</si>
  <si>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</si>
  <si>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</si>
  <si>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</si>
  <si>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</si>
  <si>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</si>
  <si>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</si>
  <si>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</si>
  <si>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</si>
  <si>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</si>
  <si>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</si>
  <si>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</si>
  <si>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</si>
  <si>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</si>
  <si>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</si>
  <si>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</si>
  <si>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</si>
  <si>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</si>
  <si>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</si>
  <si>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</si>
  <si>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</si>
  <si>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</si>
  <si>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</si>
  <si>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</si>
  <si>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</si>
  <si>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</si>
  <si>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</si>
  <si>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</si>
  <si>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</si>
  <si>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</si>
  <si>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</si>
  <si>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</si>
  <si>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</si>
  <si>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</si>
  <si>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</si>
  <si>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</si>
  <si>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</si>
  <si>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</si>
  <si>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</si>
  <si>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</si>
  <si>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</si>
  <si>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</si>
  <si>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</si>
  <si>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</si>
  <si>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</si>
  <si>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</si>
  <si>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</si>
  <si>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</si>
  <si>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</si>
  <si>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</si>
  <si>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</si>
  <si>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</si>
  <si>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</si>
  <si>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</si>
  <si>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</si>
  <si>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</si>
  <si>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</si>
  <si>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</si>
  <si>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</si>
  <si>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</si>
  <si>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</si>
  <si>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</si>
  <si>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</si>
  <si>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</si>
  <si>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</si>
  <si>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</si>
  <si>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</si>
  <si>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</si>
  <si>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</si>
  <si>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</si>
  <si>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</si>
  <si>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</si>
  <si>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</si>
  <si>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</si>
  <si>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</si>
  <si>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</si>
  <si>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</si>
  <si>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</si>
  <si>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</si>
  <si>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</si>
  <si>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</si>
  <si>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</si>
  <si>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</si>
  <si>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</si>
  <si>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</si>
  <si>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</si>
  <si>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</si>
  <si>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</si>
  <si>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</si>
  <si>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</si>
  <si>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</si>
  <si>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</si>
  <si>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</si>
  <si>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</si>
  <si>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</si>
  <si>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</si>
  <si>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</si>
  <si>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</si>
  <si>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</si>
  <si>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</si>
  <si>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</si>
  <si>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</si>
  <si>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</si>
  <si>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</si>
  <si>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</si>
  <si>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</si>
  <si>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</si>
  <si>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</si>
  <si>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</si>
  <si>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</si>
  <si>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</si>
  <si>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</si>
  <si>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</si>
  <si>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</si>
  <si>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</si>
  <si>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</si>
  <si>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</si>
  <si>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</si>
  <si>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</si>
  <si>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</si>
  <si>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</si>
  <si>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</si>
  <si>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</si>
  <si>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</si>
  <si>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</si>
  <si>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</si>
  <si>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</si>
  <si>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</si>
  <si>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</si>
  <si>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</si>
  <si>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</si>
  <si>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</si>
  <si>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</si>
  <si>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</si>
  <si>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</si>
  <si>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</si>
  <si>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</si>
  <si>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</si>
  <si>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</si>
  <si>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</si>
  <si>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</si>
  <si>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</si>
  <si>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</si>
  <si>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</si>
  <si>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</si>
  <si>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</si>
  <si>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</si>
  <si>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</si>
  <si>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</si>
  <si>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</si>
  <si>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</si>
  <si>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</si>
  <si>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</si>
  <si>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</si>
  <si>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</si>
  <si>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</si>
  <si>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</si>
  <si>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</si>
  <si>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</si>
  <si>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</si>
  <si>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</si>
  <si>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</si>
  <si>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</si>
  <si>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</si>
  <si>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</si>
  <si>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</si>
  <si>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</si>
  <si>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</si>
  <si>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</si>
  <si>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</si>
  <si>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</si>
  <si>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</si>
  <si>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</si>
  <si>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</si>
  <si>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</si>
  <si>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</si>
  <si>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</si>
  <si>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</si>
  <si>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</si>
  <si>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</si>
  <si>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</si>
  <si>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</si>
  <si>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</si>
  <si>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</si>
  <si>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</si>
  <si>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</si>
  <si>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</si>
  <si>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</si>
  <si>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</si>
  <si>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</si>
  <si>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</si>
  <si>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</si>
  <si>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</si>
  <si>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</si>
  <si>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</si>
  <si>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</si>
  <si>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</si>
  <si>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</si>
  <si>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</si>
  <si>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</si>
  <si>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</si>
  <si>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</si>
  <si>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</si>
  <si>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</si>
  <si>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</si>
  <si>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</si>
  <si>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</si>
  <si>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</si>
  <si>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</si>
  <si>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</si>
  <si>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</si>
  <si>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</si>
  <si>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</si>
  <si>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</si>
  <si>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</si>
  <si>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</si>
  <si>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</si>
  <si>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</si>
  <si>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</si>
  <si>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</si>
  <si>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</si>
  <si>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</si>
  <si>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</si>
  <si>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</si>
  <si>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</si>
  <si>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</si>
  <si>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</si>
  <si>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</si>
  <si>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</si>
  <si>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</si>
  <si>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</si>
  <si>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</si>
  <si>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</si>
  <si>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</si>
  <si>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</si>
  <si>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</si>
  <si>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</si>
  <si>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</si>
  <si>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</si>
  <si>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</si>
  <si>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</si>
  <si>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</si>
  <si>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</si>
  <si>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</si>
  <si>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</si>
  <si>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</si>
  <si>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</si>
  <si>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</si>
  <si>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</si>
  <si>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</si>
  <si>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</si>
  <si>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</si>
  <si>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</si>
  <si>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</si>
  <si>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</si>
  <si>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</si>
  <si>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</si>
  <si>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</si>
  <si>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</si>
  <si>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</si>
  <si>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</si>
  <si>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</si>
  <si>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</si>
  <si>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</si>
  <si>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</si>
  <si>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</si>
  <si>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</si>
  <si>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</si>
  <si>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</si>
  <si>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</si>
  <si>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</si>
  <si>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</si>
  <si>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</si>
  <si>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</si>
  <si>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</si>
  <si>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</si>
  <si>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</si>
  <si>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</si>
  <si>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</si>
  <si>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</si>
  <si>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</si>
  <si>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</si>
  <si>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</si>
  <si>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</si>
  <si>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</si>
  <si>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</si>
  <si>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</si>
  <si>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</si>
  <si>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</si>
  <si>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</si>
  <si>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</si>
  <si>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</si>
  <si>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</si>
  <si>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</si>
  <si>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</si>
  <si>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</si>
  <si>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</si>
  <si>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</si>
  <si>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</si>
  <si>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</si>
  <si>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</si>
  <si>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</si>
  <si>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</si>
  <si>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</si>
  <si>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</si>
  <si>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</si>
  <si>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</si>
  <si>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</si>
  <si>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</si>
  <si>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</si>
  <si>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</si>
  <si>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</si>
  <si>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</si>
  <si>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</si>
  <si>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</si>
  <si>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</si>
  <si>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</si>
  <si>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</si>
  <si>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</si>
  <si>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</si>
  <si>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</si>
  <si>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</si>
  <si>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</si>
  <si>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</si>
  <si>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</si>
  <si>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</si>
  <si>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</si>
  <si>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</si>
  <si>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</si>
  <si>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</si>
  <si>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</si>
  <si>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</si>
  <si>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</si>
  <si>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</si>
  <si>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</si>
  <si>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</si>
  <si>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</si>
  <si>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</si>
  <si>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</si>
  <si>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</si>
  <si>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</si>
  <si>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</si>
  <si>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</si>
  <si>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</si>
  <si>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</si>
  <si>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</si>
  <si>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</si>
  <si>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</si>
  <si>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</si>
  <si>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</si>
  <si>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</si>
  <si>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</si>
  <si>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</si>
  <si>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</si>
  <si>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</si>
  <si>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</si>
  <si>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</si>
  <si>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</si>
  <si>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</si>
  <si>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</si>
  <si>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</si>
  <si>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</si>
  <si>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</si>
  <si>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</si>
  <si>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</si>
  <si>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</si>
  <si>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</si>
  <si>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</si>
  <si>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</si>
  <si>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</si>
  <si>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</si>
  <si>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</si>
  <si>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</si>
  <si>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</si>
  <si>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</si>
  <si>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</si>
  <si>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</si>
  <si>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</si>
  <si>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</si>
  <si>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</si>
  <si>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</si>
  <si>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</si>
  <si>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</si>
  <si>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</si>
  <si>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</si>
  <si>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</si>
  <si>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</si>
  <si>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</si>
  <si>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</si>
  <si>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</si>
  <si>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</si>
  <si>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</si>
  <si>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</si>
  <si>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</si>
  <si>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</si>
  <si>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</si>
  <si>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</si>
  <si>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</si>
  <si>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</si>
  <si>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</si>
  <si>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</si>
  <si>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</si>
  <si>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</si>
  <si>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</si>
  <si>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</si>
  <si>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</si>
  <si>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</si>
  <si>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</si>
  <si>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</si>
  <si>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</si>
  <si>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</si>
  <si>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</si>
  <si>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</si>
  <si>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</si>
  <si>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</si>
  <si>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</si>
  <si>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</si>
  <si>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</si>
  <si>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</si>
  <si>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</si>
  <si>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</si>
  <si>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</si>
  <si>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</si>
  <si>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</si>
  <si>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</si>
  <si>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</si>
  <si>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</si>
  <si>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</si>
  <si>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</si>
  <si>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</si>
  <si>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</si>
  <si>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</si>
  <si>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</si>
  <si>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</si>
  <si>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</si>
  <si>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</si>
  <si>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</si>
  <si>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</si>
  <si>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</si>
  <si>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</si>
  <si>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</si>
  <si>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</si>
  <si>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</si>
  <si>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</si>
  <si>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</si>
  <si>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</si>
  <si>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</si>
  <si>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</si>
  <si>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</si>
  <si>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</si>
  <si>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</si>
  <si>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</si>
  <si>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</si>
  <si>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</si>
  <si>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</si>
  <si>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</si>
  <si>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</si>
  <si>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</si>
  <si>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</si>
  <si>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</si>
  <si>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</si>
  <si>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</si>
  <si>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</si>
  <si>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</si>
  <si>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</si>
  <si>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</si>
  <si>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</si>
  <si>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</si>
  <si>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</si>
  <si>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</si>
  <si>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</si>
  <si>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</si>
  <si>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</si>
  <si>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</si>
  <si>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</si>
  <si>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</si>
  <si>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</si>
  <si>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</si>
  <si>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</si>
  <si>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</si>
  <si>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</si>
  <si>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</si>
  <si>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</si>
  <si>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</si>
  <si>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</si>
  <si>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</si>
  <si>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</si>
  <si>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</si>
  <si>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</si>
  <si>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</si>
  <si>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</si>
  <si>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</si>
  <si>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</si>
  <si>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</si>
  <si>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</si>
  <si>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</si>
  <si>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</si>
  <si>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</si>
  <si>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</si>
  <si>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</si>
  <si>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</si>
  <si>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</si>
  <si>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</si>
  <si>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</si>
  <si>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</si>
  <si>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</si>
  <si>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</si>
  <si>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</si>
  <si>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</si>
  <si>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</si>
  <si>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</si>
  <si>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</si>
  <si>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</si>
  <si>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</si>
  <si>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</si>
  <si>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</si>
  <si>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</si>
  <si>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</si>
  <si>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</si>
  <si>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</si>
  <si>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</si>
  <si>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</si>
  <si>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</si>
  <si>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</si>
  <si>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</si>
  <si>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</si>
  <si>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</si>
  <si>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</si>
  <si>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</si>
  <si>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</si>
  <si>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</si>
  <si>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</si>
  <si>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</si>
  <si>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</si>
  <si>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</si>
  <si>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</si>
  <si>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</si>
  <si>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</si>
  <si>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</si>
  <si>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</si>
  <si>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</si>
  <si>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</si>
  <si>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</si>
  <si>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</si>
  <si>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</si>
  <si>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</si>
  <si>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</si>
  <si>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</si>
  <si>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</si>
  <si>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</si>
  <si>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</si>
  <si>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</si>
  <si>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</si>
  <si>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</si>
  <si>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</si>
  <si>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</si>
  <si>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</si>
  <si>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</si>
  <si>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</si>
  <si>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</si>
  <si>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</si>
  <si>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</si>
  <si>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</si>
  <si>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</si>
  <si>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</si>
  <si>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</si>
  <si>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</si>
  <si>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</si>
  <si>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</si>
  <si>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</si>
  <si>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</si>
  <si>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</si>
  <si>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</si>
  <si>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</si>
  <si>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</si>
  <si>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</si>
  <si>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</si>
  <si>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</si>
  <si>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</si>
  <si>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</si>
  <si>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</si>
  <si>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</si>
  <si>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</si>
  <si>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</si>
  <si>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</si>
  <si>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</si>
  <si>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</si>
  <si>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</si>
  <si>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</si>
  <si>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</si>
  <si>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</si>
  <si>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</si>
  <si>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</si>
  <si>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</si>
  <si>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</si>
  <si>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</si>
  <si>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</si>
  <si>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</si>
  <si>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</si>
  <si>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</si>
  <si>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</si>
  <si>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</si>
  <si>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</si>
  <si>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</si>
  <si>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</si>
  <si>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</si>
  <si>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</si>
  <si>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</si>
  <si>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</si>
  <si>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</si>
  <si>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</si>
  <si>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</si>
  <si>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</si>
  <si>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</si>
  <si>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</si>
  <si>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</si>
  <si>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</si>
  <si>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</si>
  <si>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</si>
  <si>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</si>
  <si>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</si>
  <si>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</si>
  <si>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</si>
  <si>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</si>
  <si>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</si>
  <si>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</si>
  <si>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</si>
  <si>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</si>
  <si>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</si>
  <si>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</si>
  <si>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</si>
  <si>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</si>
  <si>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</si>
  <si>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</si>
  <si>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</si>
  <si>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</si>
  <si>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</si>
  <si>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</si>
  <si>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</si>
  <si>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</si>
  <si>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</si>
  <si>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</si>
  <si>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</si>
  <si>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</si>
  <si>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</si>
  <si>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</si>
  <si>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</si>
  <si>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</si>
  <si>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</si>
  <si>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</si>
  <si>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</si>
  <si>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</si>
  <si>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</si>
  <si>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</si>
  <si>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</si>
  <si>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</si>
  <si>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</si>
  <si>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</si>
  <si>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</si>
  <si>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</si>
  <si>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</si>
  <si>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</si>
  <si>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</si>
  <si>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</si>
  <si>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</si>
  <si>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</si>
  <si>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</si>
  <si>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</si>
  <si>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</si>
  <si>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</si>
  <si>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</si>
  <si>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</si>
  <si>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</si>
  <si>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</si>
  <si>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</si>
  <si>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</si>
  <si>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</si>
  <si>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</si>
  <si>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</si>
  <si>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</si>
  <si>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</si>
  <si>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</si>
  <si>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</si>
  <si>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</si>
  <si>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</si>
  <si>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</si>
  <si>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</si>
  <si>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</si>
  <si>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</si>
  <si>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</si>
  <si>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</si>
  <si>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</si>
  <si>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</si>
  <si>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</si>
  <si>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</si>
  <si>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</si>
  <si>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</si>
  <si>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</si>
  <si>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24020</t>
  </si>
  <si>
    <t>DIEST</t>
  </si>
  <si>
    <t>Eandis (januari 2018); Infrax (juni 2018)</t>
  </si>
  <si>
    <t>MOW (september 2017)</t>
  </si>
  <si>
    <t>referentietaak LNE (2017); Jaarverslag De Lijn (2016)</t>
  </si>
  <si>
    <t>VEA (april 2018)</t>
  </si>
  <si>
    <t>VEA (januari 2017)</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</si>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</sst>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200307.14457989816</c:v>
                </c:pt>
                <c:pt idx="1">
                  <c:v>109036.8125285022</c:v>
                </c:pt>
                <c:pt idx="2">
                  <c:v>2021.1379999999999</c:v>
                </c:pt>
                <c:pt idx="3">
                  <c:v>28899.1209991947</c:v>
                </c:pt>
                <c:pt idx="4">
                  <c:v>69335.66639253145</c:v>
                </c:pt>
                <c:pt idx="5">
                  <c:v>145911.44149116016</c:v>
                </c:pt>
                <c:pt idx="6">
                  <c:v>3101.7004499935952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200307.14457989816</c:v>
                </c:pt>
                <c:pt idx="1">
                  <c:v>109036.8125285022</c:v>
                </c:pt>
                <c:pt idx="2">
                  <c:v>2021.1379999999999</c:v>
                </c:pt>
                <c:pt idx="3">
                  <c:v>28899.1209991947</c:v>
                </c:pt>
                <c:pt idx="4">
                  <c:v>69335.66639253145</c:v>
                </c:pt>
                <c:pt idx="5">
                  <c:v>145911.44149116016</c:v>
                </c:pt>
                <c:pt idx="6">
                  <c:v>3101.7004499935952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41058.37921256182</c:v>
                </c:pt>
                <c:pt idx="2">
                  <c:v>20492.442508149034</c:v>
                </c:pt>
                <c:pt idx="3">
                  <c:v>335.93919460301782</c:v>
                </c:pt>
                <c:pt idx="4">
                  <c:v>6976.9416362899392</c:v>
                </c:pt>
                <c:pt idx="5">
                  <c:v>12085.35534984584</c:v>
                </c:pt>
                <c:pt idx="6">
                  <c:v>36510.607647147328</c:v>
                </c:pt>
                <c:pt idx="7">
                  <c:v>783.64636602482142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41058.37921256182</c:v>
                </c:pt>
                <c:pt idx="2">
                  <c:v>20492.442508149034</c:v>
                </c:pt>
                <c:pt idx="3">
                  <c:v>335.93919460301782</c:v>
                </c:pt>
                <c:pt idx="4">
                  <c:v>6976.9416362899392</c:v>
                </c:pt>
                <c:pt idx="5">
                  <c:v>12085.35534984584</c:v>
                </c:pt>
                <c:pt idx="6">
                  <c:v>36510.607647147328</c:v>
                </c:pt>
                <c:pt idx="7">
                  <c:v>783.64636602482142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24020</v>
      </c>
      <c r="B6" s="415"/>
      <c r="C6" s="416"/>
    </row>
    <row r="7" spans="1:7" s="413" customFormat="1" ht="15.75" customHeight="1">
      <c r="A7" s="417" t="str">
        <f>txtMunicipality</f>
        <v>DIEST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0.16621289323293009</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0.16621289323293009</v>
      </c>
      <c r="C29" s="525">
        <f ca="1">'EF ele_warmte'!B22</f>
        <v>0.23764705882352938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10099</v>
      </c>
      <c r="C9" s="342">
        <v>10614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2490.92</v>
      </c>
    </row>
    <row r="15" spans="1:6">
      <c r="A15" s="348" t="s">
        <v>184</v>
      </c>
      <c r="B15" s="334">
        <v>300</v>
      </c>
    </row>
    <row r="16" spans="1:6">
      <c r="A16" s="348" t="s">
        <v>6</v>
      </c>
      <c r="B16" s="334">
        <v>397</v>
      </c>
    </row>
    <row r="17" spans="1:6">
      <c r="A17" s="348" t="s">
        <v>7</v>
      </c>
      <c r="B17" s="334">
        <v>353</v>
      </c>
    </row>
    <row r="18" spans="1:6">
      <c r="A18" s="348" t="s">
        <v>8</v>
      </c>
      <c r="B18" s="334">
        <v>427</v>
      </c>
    </row>
    <row r="19" spans="1:6">
      <c r="A19" s="348" t="s">
        <v>9</v>
      </c>
      <c r="B19" s="334">
        <v>393</v>
      </c>
    </row>
    <row r="20" spans="1:6">
      <c r="A20" s="348" t="s">
        <v>10</v>
      </c>
      <c r="B20" s="334">
        <v>319</v>
      </c>
    </row>
    <row r="21" spans="1:6">
      <c r="A21" s="348" t="s">
        <v>11</v>
      </c>
      <c r="B21" s="334">
        <v>1511</v>
      </c>
    </row>
    <row r="22" spans="1:6">
      <c r="A22" s="348" t="s">
        <v>12</v>
      </c>
      <c r="B22" s="334">
        <v>6482</v>
      </c>
    </row>
    <row r="23" spans="1:6">
      <c r="A23" s="348" t="s">
        <v>13</v>
      </c>
      <c r="B23" s="334">
        <v>118</v>
      </c>
    </row>
    <row r="24" spans="1:6">
      <c r="A24" s="348" t="s">
        <v>14</v>
      </c>
      <c r="B24" s="334">
        <v>9</v>
      </c>
    </row>
    <row r="25" spans="1:6">
      <c r="A25" s="348" t="s">
        <v>15</v>
      </c>
      <c r="B25" s="334">
        <v>487</v>
      </c>
    </row>
    <row r="26" spans="1:6">
      <c r="A26" s="348" t="s">
        <v>16</v>
      </c>
      <c r="B26" s="334">
        <v>132</v>
      </c>
    </row>
    <row r="27" spans="1:6">
      <c r="A27" s="348" t="s">
        <v>17</v>
      </c>
      <c r="B27" s="334">
        <v>0</v>
      </c>
    </row>
    <row r="28" spans="1:6" s="356" customFormat="1">
      <c r="A28" s="355" t="s">
        <v>18</v>
      </c>
      <c r="B28" s="355">
        <v>134562</v>
      </c>
    </row>
    <row r="29" spans="1:6">
      <c r="A29" s="355" t="s">
        <v>744</v>
      </c>
      <c r="B29" s="355">
        <v>160</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46784</v>
      </c>
    </row>
    <row r="37" spans="1:6">
      <c r="A37" s="348" t="s">
        <v>25</v>
      </c>
      <c r="B37" s="348" t="s">
        <v>28</v>
      </c>
      <c r="C37" s="334">
        <v>0</v>
      </c>
      <c r="D37" s="334">
        <v>0</v>
      </c>
      <c r="E37" s="334">
        <v>0</v>
      </c>
      <c r="F37" s="334">
        <v>0</v>
      </c>
    </row>
    <row r="38" spans="1:6">
      <c r="A38" s="348" t="s">
        <v>25</v>
      </c>
      <c r="B38" s="348" t="s">
        <v>29</v>
      </c>
      <c r="C38" s="334">
        <v>1</v>
      </c>
      <c r="D38" s="334">
        <v>11131.0129780647</v>
      </c>
      <c r="E38" s="334">
        <v>1</v>
      </c>
      <c r="F38" s="334">
        <v>8856</v>
      </c>
    </row>
    <row r="39" spans="1:6">
      <c r="A39" s="348" t="s">
        <v>30</v>
      </c>
      <c r="B39" s="348" t="s">
        <v>31</v>
      </c>
      <c r="C39" s="334">
        <v>5550</v>
      </c>
      <c r="D39" s="334">
        <v>83796854.559835702</v>
      </c>
      <c r="E39" s="334">
        <v>10154</v>
      </c>
      <c r="F39" s="334">
        <v>33272190.449999999</v>
      </c>
    </row>
    <row r="40" spans="1:6">
      <c r="A40" s="348" t="s">
        <v>30</v>
      </c>
      <c r="B40" s="348" t="s">
        <v>29</v>
      </c>
      <c r="C40" s="334">
        <v>0</v>
      </c>
      <c r="D40" s="334">
        <v>0</v>
      </c>
      <c r="E40" s="334">
        <v>0</v>
      </c>
      <c r="F40" s="334">
        <v>0</v>
      </c>
    </row>
    <row r="41" spans="1:6">
      <c r="A41" s="348" t="s">
        <v>32</v>
      </c>
      <c r="B41" s="348" t="s">
        <v>33</v>
      </c>
      <c r="C41" s="334">
        <v>75</v>
      </c>
      <c r="D41" s="334">
        <v>4079746.0497395499</v>
      </c>
      <c r="E41" s="334">
        <v>284</v>
      </c>
      <c r="F41" s="334">
        <v>15306488.800000001</v>
      </c>
    </row>
    <row r="42" spans="1:6">
      <c r="A42" s="348" t="s">
        <v>32</v>
      </c>
      <c r="B42" s="348" t="s">
        <v>34</v>
      </c>
      <c r="C42" s="334">
        <v>0</v>
      </c>
      <c r="D42" s="334">
        <v>0</v>
      </c>
      <c r="E42" s="334">
        <v>3</v>
      </c>
      <c r="F42" s="334">
        <v>2316</v>
      </c>
    </row>
    <row r="43" spans="1:6">
      <c r="A43" s="348" t="s">
        <v>32</v>
      </c>
      <c r="B43" s="348" t="s">
        <v>35</v>
      </c>
      <c r="C43" s="334">
        <v>0</v>
      </c>
      <c r="D43" s="334">
        <v>0</v>
      </c>
      <c r="E43" s="334">
        <v>0</v>
      </c>
      <c r="F43" s="334">
        <v>0</v>
      </c>
    </row>
    <row r="44" spans="1:6">
      <c r="A44" s="348" t="s">
        <v>32</v>
      </c>
      <c r="B44" s="348" t="s">
        <v>36</v>
      </c>
      <c r="C44" s="334">
        <v>3</v>
      </c>
      <c r="D44" s="334">
        <v>86617.9141339778</v>
      </c>
      <c r="E44" s="334">
        <v>30</v>
      </c>
      <c r="F44" s="334">
        <v>4645869.7379999999</v>
      </c>
    </row>
    <row r="45" spans="1:6">
      <c r="A45" s="348" t="s">
        <v>32</v>
      </c>
      <c r="B45" s="348" t="s">
        <v>37</v>
      </c>
      <c r="C45" s="334">
        <v>0</v>
      </c>
      <c r="D45" s="334">
        <v>0</v>
      </c>
      <c r="E45" s="334">
        <v>5</v>
      </c>
      <c r="F45" s="334">
        <v>658634</v>
      </c>
    </row>
    <row r="46" spans="1:6">
      <c r="A46" s="348" t="s">
        <v>32</v>
      </c>
      <c r="B46" s="348" t="s">
        <v>38</v>
      </c>
      <c r="C46" s="334">
        <v>0</v>
      </c>
      <c r="D46" s="334">
        <v>0</v>
      </c>
      <c r="E46" s="334">
        <v>0</v>
      </c>
      <c r="F46" s="334">
        <v>0</v>
      </c>
    </row>
    <row r="47" spans="1:6">
      <c r="A47" s="348" t="s">
        <v>32</v>
      </c>
      <c r="B47" s="348" t="s">
        <v>39</v>
      </c>
      <c r="C47" s="334">
        <v>3</v>
      </c>
      <c r="D47" s="334">
        <v>859074.61687674106</v>
      </c>
      <c r="E47" s="334">
        <v>12</v>
      </c>
      <c r="F47" s="334">
        <v>1481240</v>
      </c>
    </row>
    <row r="48" spans="1:6">
      <c r="A48" s="348" t="s">
        <v>32</v>
      </c>
      <c r="B48" s="348" t="s">
        <v>29</v>
      </c>
      <c r="C48" s="334">
        <v>54</v>
      </c>
      <c r="D48" s="334">
        <v>12340059.584628399</v>
      </c>
      <c r="E48" s="334">
        <v>0</v>
      </c>
      <c r="F48" s="334">
        <v>0</v>
      </c>
    </row>
    <row r="49" spans="1:6">
      <c r="A49" s="348" t="s">
        <v>32</v>
      </c>
      <c r="B49" s="348" t="s">
        <v>40</v>
      </c>
      <c r="C49" s="334">
        <v>0</v>
      </c>
      <c r="D49" s="334">
        <v>0</v>
      </c>
      <c r="E49" s="334">
        <v>4</v>
      </c>
      <c r="F49" s="334">
        <v>64687</v>
      </c>
    </row>
    <row r="50" spans="1:6">
      <c r="A50" s="348" t="s">
        <v>32</v>
      </c>
      <c r="B50" s="348" t="s">
        <v>41</v>
      </c>
      <c r="C50" s="334">
        <v>8</v>
      </c>
      <c r="D50" s="334">
        <v>674721.73579632095</v>
      </c>
      <c r="E50" s="334">
        <v>21</v>
      </c>
      <c r="F50" s="334">
        <v>3333401</v>
      </c>
    </row>
    <row r="51" spans="1:6">
      <c r="A51" s="348" t="s">
        <v>42</v>
      </c>
      <c r="B51" s="348" t="s">
        <v>43</v>
      </c>
      <c r="C51" s="334">
        <v>7</v>
      </c>
      <c r="D51" s="334">
        <v>192136.71126356299</v>
      </c>
      <c r="E51" s="334">
        <v>68</v>
      </c>
      <c r="F51" s="334">
        <v>1619619.6</v>
      </c>
    </row>
    <row r="52" spans="1:6">
      <c r="A52" s="348" t="s">
        <v>42</v>
      </c>
      <c r="B52" s="348" t="s">
        <v>29</v>
      </c>
      <c r="C52" s="334">
        <v>7</v>
      </c>
      <c r="D52" s="334">
        <v>31132643.513415799</v>
      </c>
      <c r="E52" s="334">
        <v>0</v>
      </c>
      <c r="F52" s="334">
        <v>0</v>
      </c>
    </row>
    <row r="53" spans="1:6">
      <c r="A53" s="348" t="s">
        <v>44</v>
      </c>
      <c r="B53" s="348" t="s">
        <v>45</v>
      </c>
      <c r="C53" s="334">
        <v>149</v>
      </c>
      <c r="D53" s="334">
        <v>3039284.7078467999</v>
      </c>
      <c r="E53" s="334">
        <v>264</v>
      </c>
      <c r="F53" s="334">
        <v>1349929.5209999999</v>
      </c>
    </row>
    <row r="54" spans="1:6">
      <c r="A54" s="348" t="s">
        <v>46</v>
      </c>
      <c r="B54" s="348" t="s">
        <v>47</v>
      </c>
      <c r="C54" s="334">
        <v>0</v>
      </c>
      <c r="D54" s="334">
        <v>0</v>
      </c>
      <c r="E54" s="334">
        <v>1</v>
      </c>
      <c r="F54" s="334">
        <v>2021138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63</v>
      </c>
      <c r="D57" s="334">
        <v>2616438.4548600698</v>
      </c>
      <c r="E57" s="334">
        <v>149</v>
      </c>
      <c r="F57" s="334">
        <v>2551074.6379999998</v>
      </c>
    </row>
    <row r="58" spans="1:6">
      <c r="A58" s="348" t="s">
        <v>49</v>
      </c>
      <c r="B58" s="348" t="s">
        <v>51</v>
      </c>
      <c r="C58" s="334">
        <v>71</v>
      </c>
      <c r="D58" s="334">
        <v>8730954.9781637304</v>
      </c>
      <c r="E58" s="334">
        <v>126</v>
      </c>
      <c r="F58" s="334">
        <v>5810801</v>
      </c>
    </row>
    <row r="59" spans="1:6">
      <c r="A59" s="348" t="s">
        <v>49</v>
      </c>
      <c r="B59" s="348" t="s">
        <v>52</v>
      </c>
      <c r="C59" s="334">
        <v>168</v>
      </c>
      <c r="D59" s="334">
        <v>8540972.7493061908</v>
      </c>
      <c r="E59" s="334">
        <v>416</v>
      </c>
      <c r="F59" s="334">
        <v>17783071.425000001</v>
      </c>
    </row>
    <row r="60" spans="1:6">
      <c r="A60" s="348" t="s">
        <v>49</v>
      </c>
      <c r="B60" s="348" t="s">
        <v>53</v>
      </c>
      <c r="C60" s="334">
        <v>83</v>
      </c>
      <c r="D60" s="334">
        <v>4234708.6970301401</v>
      </c>
      <c r="E60" s="334">
        <v>129</v>
      </c>
      <c r="F60" s="334">
        <v>3099898</v>
      </c>
    </row>
    <row r="61" spans="1:6">
      <c r="A61" s="348" t="s">
        <v>49</v>
      </c>
      <c r="B61" s="348" t="s">
        <v>54</v>
      </c>
      <c r="C61" s="334">
        <v>238</v>
      </c>
      <c r="D61" s="334">
        <v>11253758.9666379</v>
      </c>
      <c r="E61" s="334">
        <v>572</v>
      </c>
      <c r="F61" s="334">
        <v>13044431.579</v>
      </c>
    </row>
    <row r="62" spans="1:6">
      <c r="A62" s="348" t="s">
        <v>49</v>
      </c>
      <c r="B62" s="348" t="s">
        <v>55</v>
      </c>
      <c r="C62" s="334">
        <v>22</v>
      </c>
      <c r="D62" s="334">
        <v>3132399.1208557799</v>
      </c>
      <c r="E62" s="334">
        <v>29</v>
      </c>
      <c r="F62" s="334">
        <v>1792316.76</v>
      </c>
    </row>
    <row r="63" spans="1:6">
      <c r="A63" s="348" t="s">
        <v>49</v>
      </c>
      <c r="B63" s="348" t="s">
        <v>29</v>
      </c>
      <c r="C63" s="334">
        <v>148</v>
      </c>
      <c r="D63" s="334">
        <v>21680308.654065099</v>
      </c>
      <c r="E63" s="334">
        <v>1</v>
      </c>
      <c r="F63" s="334">
        <v>8403</v>
      </c>
    </row>
    <row r="64" spans="1:6">
      <c r="A64" s="348" t="s">
        <v>56</v>
      </c>
      <c r="B64" s="348" t="s">
        <v>57</v>
      </c>
      <c r="C64" s="334">
        <v>0</v>
      </c>
      <c r="D64" s="334">
        <v>0</v>
      </c>
      <c r="E64" s="334">
        <v>0</v>
      </c>
      <c r="F64" s="334">
        <v>0</v>
      </c>
    </row>
    <row r="65" spans="1:6">
      <c r="A65" s="348" t="s">
        <v>56</v>
      </c>
      <c r="B65" s="348" t="s">
        <v>29</v>
      </c>
      <c r="C65" s="334">
        <v>5</v>
      </c>
      <c r="D65" s="334">
        <v>146844.11995523301</v>
      </c>
      <c r="E65" s="334">
        <v>1</v>
      </c>
      <c r="F65" s="334">
        <v>12136</v>
      </c>
    </row>
    <row r="66" spans="1:6">
      <c r="A66" s="348" t="s">
        <v>56</v>
      </c>
      <c r="B66" s="348" t="s">
        <v>58</v>
      </c>
      <c r="C66" s="334">
        <v>0</v>
      </c>
      <c r="D66" s="334">
        <v>0</v>
      </c>
      <c r="E66" s="334">
        <v>21</v>
      </c>
      <c r="F66" s="334">
        <v>338279.636</v>
      </c>
    </row>
    <row r="67" spans="1:6">
      <c r="A67" s="355" t="s">
        <v>56</v>
      </c>
      <c r="B67" s="355" t="s">
        <v>59</v>
      </c>
      <c r="C67" s="334">
        <v>0</v>
      </c>
      <c r="D67" s="334">
        <v>0</v>
      </c>
      <c r="E67" s="334">
        <v>0</v>
      </c>
      <c r="F67" s="334">
        <v>0</v>
      </c>
    </row>
    <row r="68" spans="1:6">
      <c r="A68" s="341" t="s">
        <v>56</v>
      </c>
      <c r="B68" s="341" t="s">
        <v>60</v>
      </c>
      <c r="C68" s="334">
        <v>0</v>
      </c>
      <c r="D68" s="334">
        <v>0</v>
      </c>
      <c r="E68" s="334">
        <v>11</v>
      </c>
      <c r="F68" s="334">
        <v>562545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114007150</v>
      </c>
      <c r="E73" s="475">
        <v>115287585.78748953</v>
      </c>
    </row>
    <row r="74" spans="1:6">
      <c r="A74" s="348" t="s">
        <v>64</v>
      </c>
      <c r="B74" s="348" t="s">
        <v>657</v>
      </c>
      <c r="C74" s="1295" t="s">
        <v>659</v>
      </c>
      <c r="D74" s="475">
        <v>7885560.5</v>
      </c>
      <c r="E74" s="475">
        <v>7972883.0686778193</v>
      </c>
    </row>
    <row r="75" spans="1:6">
      <c r="A75" s="348" t="s">
        <v>65</v>
      </c>
      <c r="B75" s="348" t="s">
        <v>656</v>
      </c>
      <c r="C75" s="1295" t="s">
        <v>660</v>
      </c>
      <c r="D75" s="475">
        <v>18136659</v>
      </c>
      <c r="E75" s="475">
        <v>18337391.17392797</v>
      </c>
    </row>
    <row r="76" spans="1:6">
      <c r="A76" s="348" t="s">
        <v>65</v>
      </c>
      <c r="B76" s="348" t="s">
        <v>657</v>
      </c>
      <c r="C76" s="1295" t="s">
        <v>661</v>
      </c>
      <c r="D76" s="475">
        <v>507271.5</v>
      </c>
      <c r="E76" s="475">
        <v>512067.69185506291</v>
      </c>
    </row>
    <row r="77" spans="1:6">
      <c r="A77" s="348" t="s">
        <v>66</v>
      </c>
      <c r="B77" s="348" t="s">
        <v>656</v>
      </c>
      <c r="C77" s="1295" t="s">
        <v>662</v>
      </c>
      <c r="D77" s="475">
        <v>40445221</v>
      </c>
      <c r="E77" s="475">
        <v>41943633.421880648</v>
      </c>
    </row>
    <row r="78" spans="1:6">
      <c r="A78" s="341" t="s">
        <v>66</v>
      </c>
      <c r="B78" s="341" t="s">
        <v>657</v>
      </c>
      <c r="C78" s="341" t="s">
        <v>663</v>
      </c>
      <c r="D78" s="1296">
        <v>4669532</v>
      </c>
      <c r="E78" s="1296">
        <v>4964076.6720139021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841233</v>
      </c>
      <c r="C83" s="475">
        <v>842377.69569955918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15846.522752342617</v>
      </c>
    </row>
    <row r="91" spans="1:6">
      <c r="A91" s="348" t="s">
        <v>68</v>
      </c>
      <c r="B91" s="334">
        <v>5081.5161070651802</v>
      </c>
    </row>
    <row r="92" spans="1:6">
      <c r="A92" s="341" t="s">
        <v>69</v>
      </c>
      <c r="B92" s="342">
        <v>8159.7665889910204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2946</v>
      </c>
    </row>
    <row r="98" spans="1:6">
      <c r="A98" s="348" t="s">
        <v>72</v>
      </c>
      <c r="B98" s="334">
        <v>3</v>
      </c>
    </row>
    <row r="99" spans="1:6">
      <c r="A99" s="348" t="s">
        <v>73</v>
      </c>
      <c r="B99" s="334">
        <v>85</v>
      </c>
    </row>
    <row r="100" spans="1:6">
      <c r="A100" s="348" t="s">
        <v>74</v>
      </c>
      <c r="B100" s="334">
        <v>484</v>
      </c>
    </row>
    <row r="101" spans="1:6">
      <c r="A101" s="348" t="s">
        <v>75</v>
      </c>
      <c r="B101" s="334">
        <v>52</v>
      </c>
    </row>
    <row r="102" spans="1:6">
      <c r="A102" s="348" t="s">
        <v>76</v>
      </c>
      <c r="B102" s="334">
        <v>111</v>
      </c>
    </row>
    <row r="103" spans="1:6">
      <c r="A103" s="348" t="s">
        <v>77</v>
      </c>
      <c r="B103" s="334">
        <v>132</v>
      </c>
    </row>
    <row r="104" spans="1:6">
      <c r="A104" s="348" t="s">
        <v>78</v>
      </c>
      <c r="B104" s="334">
        <v>4977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22</v>
      </c>
    </row>
    <row r="124" spans="1:6">
      <c r="A124" s="341" t="s">
        <v>89</v>
      </c>
      <c r="B124" s="334">
        <v>5</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195</v>
      </c>
    </row>
    <row r="130" spans="1:6">
      <c r="A130" s="348" t="s">
        <v>295</v>
      </c>
      <c r="B130" s="334">
        <v>2</v>
      </c>
    </row>
    <row r="131" spans="1:6">
      <c r="A131" s="348" t="s">
        <v>296</v>
      </c>
      <c r="B131" s="334">
        <v>1</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113019.67371433589</v>
      </c>
      <c r="C3" s="43" t="s">
        <v>170</v>
      </c>
      <c r="D3" s="43"/>
      <c r="E3" s="154"/>
      <c r="F3" s="43"/>
      <c r="G3" s="43"/>
      <c r="H3" s="43"/>
      <c r="I3" s="43"/>
      <c r="J3" s="43"/>
      <c r="K3" s="96"/>
    </row>
    <row r="4" spans="1:11">
      <c r="A4" s="383" t="s">
        <v>171</v>
      </c>
      <c r="B4" s="49">
        <f>IF(ISERROR('SEAP template'!B78+'SEAP template'!C78),0,'SEAP template'!B78+'SEAP template'!C78)</f>
        <v>43287.555448398816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3374.5288235294115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0.16621289323293009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4820.7554621848731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20285.357142857141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2021.1379999999999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2021.1379999999999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0.16621289323293009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335.93919460301782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33272.190450000002</v>
      </c>
      <c r="C5" s="17">
        <f>IF(ISERROR('Eigen informatie GS &amp; warmtenet'!B57),0,'Eigen informatie GS &amp; warmtenet'!B57)</f>
        <v>0</v>
      </c>
      <c r="D5" s="30">
        <f>(SUM(HH_hh_gas_kWh,HH_rest_gas_kWh)/1000)*0.902</f>
        <v>75584.762812971807</v>
      </c>
      <c r="E5" s="17">
        <f>B46*B57</f>
        <v>5343.0019477904698</v>
      </c>
      <c r="F5" s="17">
        <f>B51*B62</f>
        <v>68174.214041709623</v>
      </c>
      <c r="G5" s="18"/>
      <c r="H5" s="17"/>
      <c r="I5" s="17"/>
      <c r="J5" s="17">
        <f>B50*B61+C50*C61</f>
        <v>0</v>
      </c>
      <c r="K5" s="17"/>
      <c r="L5" s="17"/>
      <c r="M5" s="17"/>
      <c r="N5" s="17">
        <f>B48*B59+C48*C59</f>
        <v>11139.415887027741</v>
      </c>
      <c r="O5" s="17">
        <f>B69*B70*B71</f>
        <v>339.2433333333334</v>
      </c>
      <c r="P5" s="17">
        <f>B77*B78*B79/1000-B77*B78*B79/1000/B80</f>
        <v>1372.8</v>
      </c>
    </row>
    <row r="6" spans="1:16">
      <c r="A6" s="16" t="s">
        <v>621</v>
      </c>
      <c r="B6" s="788">
        <f>kWh_PV_kleiner_dan_10kW</f>
        <v>5081.5161070651802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38353.706557065183</v>
      </c>
      <c r="C8" s="21">
        <f>C5</f>
        <v>0</v>
      </c>
      <c r="D8" s="21">
        <f>D5</f>
        <v>75584.762812971807</v>
      </c>
      <c r="E8" s="21">
        <f>E5</f>
        <v>5343.0019477904698</v>
      </c>
      <c r="F8" s="21">
        <f>F5</f>
        <v>68174.214041709623</v>
      </c>
      <c r="G8" s="21"/>
      <c r="H8" s="21"/>
      <c r="I8" s="21"/>
      <c r="J8" s="21">
        <f>J5</f>
        <v>0</v>
      </c>
      <c r="K8" s="21"/>
      <c r="L8" s="21">
        <f>L5</f>
        <v>0</v>
      </c>
      <c r="M8" s="21">
        <f>M5</f>
        <v>0</v>
      </c>
      <c r="N8" s="21">
        <f>N5</f>
        <v>11139.415887027741</v>
      </c>
      <c r="O8" s="21">
        <f>O5</f>
        <v>339.2433333333334</v>
      </c>
      <c r="P8" s="21">
        <f>P5</f>
        <v>1372.8</v>
      </c>
    </row>
    <row r="9" spans="1:16">
      <c r="B9" s="19"/>
      <c r="C9" s="19"/>
      <c r="D9" s="258"/>
      <c r="E9" s="19"/>
      <c r="F9" s="19"/>
      <c r="G9" s="19"/>
      <c r="H9" s="19"/>
      <c r="I9" s="19"/>
      <c r="J9" s="19"/>
      <c r="K9" s="19"/>
      <c r="L9" s="19"/>
      <c r="M9" s="19"/>
      <c r="N9" s="19"/>
      <c r="O9" s="19"/>
      <c r="P9" s="19"/>
    </row>
    <row r="10" spans="1:16">
      <c r="A10" s="24" t="s">
        <v>214</v>
      </c>
      <c r="B10" s="25">
        <f ca="1">'EF ele_warmte'!B12</f>
        <v>0.16621289323293009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6374.8805330566065</v>
      </c>
      <c r="C12" s="23">
        <f ca="1">C10*C8</f>
        <v>0</v>
      </c>
      <c r="D12" s="23">
        <f>D8*D10</f>
        <v>15268.122088220305</v>
      </c>
      <c r="E12" s="23">
        <f>E10*E8</f>
        <v>1212.8614421484367</v>
      </c>
      <c r="F12" s="23">
        <f>F10*F8</f>
        <v>18202.51514913647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2946</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13.687600644122384</v>
      </c>
      <c r="D20" s="229"/>
      <c r="E20" s="15"/>
    </row>
    <row r="21" spans="1:7">
      <c r="A21" s="171" t="s">
        <v>74</v>
      </c>
      <c r="B21" s="37">
        <f>aantalw2001_elektriciteit</f>
        <v>484</v>
      </c>
      <c r="C21" s="167">
        <f>IF(ISERROR(B21/SUM($B$20,$B$21,$B$22)*100),0,B21/SUM($B$20,$B$21,$B$22)*100)</f>
        <v>77.938808373590987</v>
      </c>
      <c r="D21" s="229"/>
      <c r="E21" s="15"/>
    </row>
    <row r="22" spans="1:7">
      <c r="A22" s="171" t="s">
        <v>75</v>
      </c>
      <c r="B22" s="37">
        <f>aantalw2001_hout</f>
        <v>52</v>
      </c>
      <c r="C22" s="167">
        <f>IF(ISERROR(B22/SUM($B$20,$B$21,$B$22)*100),0,B22/SUM($B$20,$B$21,$B$22)*100)</f>
        <v>8.3735909822866343</v>
      </c>
      <c r="D22" s="229"/>
      <c r="E22" s="15"/>
    </row>
    <row r="23" spans="1:7">
      <c r="A23" s="171" t="s">
        <v>76</v>
      </c>
      <c r="B23" s="37">
        <f>aantalw2001_niet_gespec</f>
        <v>111</v>
      </c>
      <c r="C23" s="166" t="s">
        <v>111</v>
      </c>
      <c r="D23" s="228"/>
      <c r="E23" s="15"/>
    </row>
    <row r="24" spans="1:7">
      <c r="A24" s="171" t="s">
        <v>77</v>
      </c>
      <c r="B24" s="37">
        <f>aantalw2001_steenkool</f>
        <v>132</v>
      </c>
      <c r="C24" s="166" t="s">
        <v>111</v>
      </c>
      <c r="D24" s="229"/>
      <c r="E24" s="15"/>
    </row>
    <row r="25" spans="1:7">
      <c r="A25" s="171" t="s">
        <v>78</v>
      </c>
      <c r="B25" s="37">
        <f>aantalw2001_stookolie</f>
        <v>4977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10099</v>
      </c>
      <c r="C28" s="36"/>
      <c r="D28" s="228"/>
    </row>
    <row r="29" spans="1:7" s="15" customFormat="1">
      <c r="A29" s="230" t="s">
        <v>794</v>
      </c>
      <c r="B29" s="37">
        <f>SUM(HH_hh_gas_aantal,HH_rest_gas_aantal)</f>
        <v>5550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5550</v>
      </c>
      <c r="C32" s="167">
        <f>IF(ISERROR(B32/SUM($B$32,$B$34,$B$35,$B$36,$B$38,$B$39)*100),0,B32/SUM($B$32,$B$34,$B$35,$B$36,$B$38,$B$39)*100)</f>
        <v>55.350553505535061</v>
      </c>
      <c r="D32" s="233"/>
      <c r="G32" s="15"/>
    </row>
    <row r="33" spans="1:7">
      <c r="A33" s="171" t="s">
        <v>72</v>
      </c>
      <c r="B33" s="34" t="s">
        <v>111</v>
      </c>
      <c r="C33" s="167"/>
      <c r="D33" s="233"/>
      <c r="G33" s="15"/>
    </row>
    <row r="34" spans="1:7">
      <c r="A34" s="171" t="s">
        <v>73</v>
      </c>
      <c r="B34" s="33">
        <f>IF((($B$28-$B$32-$B$39-$B$77-$B$38)*C20/100)&lt;0,0,($B$28-$B$32-$B$39-$B$77-$B$38)*C20/100)</f>
        <v>252.34460547504025</v>
      </c>
      <c r="C34" s="167">
        <f>IF(ISERROR(B34/SUM($B$32,$B$34,$B$35,$B$36,$B$38,$B$39)*100),0,B34/SUM($B$32,$B$34,$B$35,$B$36,$B$38,$B$39)*100)</f>
        <v>2.5166510967890723</v>
      </c>
      <c r="D34" s="233"/>
      <c r="G34" s="15"/>
    </row>
    <row r="35" spans="1:7">
      <c r="A35" s="171" t="s">
        <v>74</v>
      </c>
      <c r="B35" s="33">
        <f>IF((($B$28-$B$32-$B$39-$B$77-$B$38)*C21/100)&lt;0,0,($B$28-$B$32-$B$39-$B$77-$B$38)*C21/100)</f>
        <v>1436.8798711755235</v>
      </c>
      <c r="C35" s="167">
        <f>IF(ISERROR(B35/SUM($B$32,$B$34,$B$35,$B$36,$B$38,$B$39)*100),0,B35/SUM($B$32,$B$34,$B$35,$B$36,$B$38,$B$39)*100)</f>
        <v>14.330107421716601</v>
      </c>
      <c r="D35" s="233"/>
      <c r="G35" s="15"/>
    </row>
    <row r="36" spans="1:7">
      <c r="A36" s="171" t="s">
        <v>75</v>
      </c>
      <c r="B36" s="33">
        <f>IF((($B$28-$B$32-$B$39-$B$77-$B$38)*C22/100)&lt;0,0,($B$28-$B$32-$B$39-$B$77-$B$38)*C22/100)</f>
        <v>154.37552334943638</v>
      </c>
      <c r="C36" s="167">
        <f>IF(ISERROR(B36/SUM($B$32,$B$34,$B$35,$B$36,$B$38,$B$39)*100),0,B36/SUM($B$32,$B$34,$B$35,$B$36,$B$38,$B$39)*100)</f>
        <v>1.5395983180356674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2633.4</v>
      </c>
      <c r="C39" s="167">
        <f>IF(ISERROR(B39/SUM($B$32,$B$34,$B$35,$B$36,$B$38,$B$39)*100),0,B39/SUM($B$32,$B$34,$B$35,$B$36,$B$38,$B$39)*100)</f>
        <v>26.263089657923604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5550</v>
      </c>
      <c r="C44" s="34" t="s">
        <v>111</v>
      </c>
      <c r="D44" s="174"/>
    </row>
    <row r="45" spans="1:7">
      <c r="A45" s="171" t="s">
        <v>72</v>
      </c>
      <c r="B45" s="33" t="str">
        <f t="shared" si="0"/>
        <v>-</v>
      </c>
      <c r="C45" s="34" t="s">
        <v>111</v>
      </c>
      <c r="D45" s="174"/>
    </row>
    <row r="46" spans="1:7">
      <c r="A46" s="171" t="s">
        <v>73</v>
      </c>
      <c r="B46" s="33">
        <f t="shared" si="0"/>
        <v>252.34460547504025</v>
      </c>
      <c r="C46" s="34" t="s">
        <v>111</v>
      </c>
      <c r="D46" s="174"/>
    </row>
    <row r="47" spans="1:7">
      <c r="A47" s="171" t="s">
        <v>74</v>
      </c>
      <c r="B47" s="33">
        <f t="shared" si="0"/>
        <v>1436.8798711755235</v>
      </c>
      <c r="C47" s="34" t="s">
        <v>111</v>
      </c>
      <c r="D47" s="174"/>
    </row>
    <row r="48" spans="1:7">
      <c r="A48" s="171" t="s">
        <v>75</v>
      </c>
      <c r="B48" s="33">
        <f t="shared" si="0"/>
        <v>154.37552334943638</v>
      </c>
      <c r="C48" s="33">
        <f>B48*10</f>
        <v>1543.7552334943639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2633.4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44089.996401999997</v>
      </c>
      <c r="C5" s="17">
        <f>IF(ISERROR('Eigen informatie GS &amp; warmtenet'!B58),0,'Eigen informatie GS &amp; warmtenet'!B58)</f>
        <v>0</v>
      </c>
      <c r="D5" s="30">
        <f>SUM(D6:D12)</f>
        <v>54290.966542068862</v>
      </c>
      <c r="E5" s="17">
        <f>SUM(E6:E12)</f>
        <v>720.01371358475535</v>
      </c>
      <c r="F5" s="17">
        <f>SUM(F6:F12)</f>
        <v>7624.1448506391516</v>
      </c>
      <c r="G5" s="18"/>
      <c r="H5" s="17"/>
      <c r="I5" s="17"/>
      <c r="J5" s="17">
        <f>SUM(J6:J12)</f>
        <v>5.5394178531079329E-2</v>
      </c>
      <c r="K5" s="17"/>
      <c r="L5" s="17"/>
      <c r="M5" s="17"/>
      <c r="N5" s="17">
        <f>SUM(N6:N12)</f>
        <v>2300.0494355546998</v>
      </c>
      <c r="O5" s="17">
        <f>B38*B39*B40</f>
        <v>3.1266666666666669</v>
      </c>
      <c r="P5" s="17">
        <f>B46*B47*B48/1000-B46*B47*B48/1000/B49</f>
        <v>19.066666666666666</v>
      </c>
      <c r="R5" s="32"/>
    </row>
    <row r="6" spans="1:18">
      <c r="A6" s="32" t="s">
        <v>54</v>
      </c>
      <c r="B6" s="37">
        <f>B26</f>
        <v>13044.431579</v>
      </c>
      <c r="C6" s="33"/>
      <c r="D6" s="37">
        <f>IF(ISERROR(TER_kantoor_gas_kWh/1000),0,TER_kantoor_gas_kWh/1000)*0.902</f>
        <v>10150.890587907386</v>
      </c>
      <c r="E6" s="33">
        <f>$C$26*'E Balans VL '!I12/100/3.6*1000000</f>
        <v>8.1758158627197708E-2</v>
      </c>
      <c r="F6" s="33">
        <f>$C$26*('E Balans VL '!L12+'E Balans VL '!N12)/100/3.6*1000000</f>
        <v>1960.2135701420107</v>
      </c>
      <c r="G6" s="34"/>
      <c r="H6" s="33"/>
      <c r="I6" s="33"/>
      <c r="J6" s="33">
        <f>$C$26*('E Balans VL '!D12+'E Balans VL '!E12)/100/3.6*1000000</f>
        <v>0</v>
      </c>
      <c r="K6" s="33"/>
      <c r="L6" s="33"/>
      <c r="M6" s="33"/>
      <c r="N6" s="33">
        <f>$C$26*'E Balans VL '!Y12/100/3.6*1000000</f>
        <v>12.475064756081293</v>
      </c>
      <c r="O6" s="33"/>
      <c r="P6" s="33"/>
      <c r="R6" s="32"/>
    </row>
    <row r="7" spans="1:18">
      <c r="A7" s="32" t="s">
        <v>53</v>
      </c>
      <c r="B7" s="37">
        <f t="shared" ref="B7:B12" si="0">B27</f>
        <v>3099.8980000000001</v>
      </c>
      <c r="C7" s="33"/>
      <c r="D7" s="37">
        <f>IF(ISERROR(TER_horeca_gas_kWh/1000),0,TER_horeca_gas_kWh/1000)*0.902</f>
        <v>3819.7072447211863</v>
      </c>
      <c r="E7" s="33">
        <f>$C$27*'E Balans VL '!I9/100/3.6*1000000</f>
        <v>44.390023015562385</v>
      </c>
      <c r="F7" s="33">
        <f>$C$27*('E Balans VL '!L9+'E Balans VL '!N9)/100/3.6*1000000</f>
        <v>392.5493253748694</v>
      </c>
      <c r="G7" s="34"/>
      <c r="H7" s="33"/>
      <c r="I7" s="33"/>
      <c r="J7" s="33">
        <f>$C$27*('E Balans VL '!D9+'E Balans VL '!E9)/100/3.6*1000000</f>
        <v>0</v>
      </c>
      <c r="K7" s="33"/>
      <c r="L7" s="33"/>
      <c r="M7" s="33"/>
      <c r="N7" s="33">
        <f>$C$27*'E Balans VL '!Y9/100/3.6*1000000</f>
        <v>0.89115232811597367</v>
      </c>
      <c r="O7" s="33"/>
      <c r="P7" s="33"/>
      <c r="R7" s="32"/>
    </row>
    <row r="8" spans="1:18">
      <c r="A8" s="6" t="s">
        <v>52</v>
      </c>
      <c r="B8" s="37">
        <f t="shared" si="0"/>
        <v>17783.071425000002</v>
      </c>
      <c r="C8" s="33"/>
      <c r="D8" s="37">
        <f>IF(ISERROR(TER_handel_gas_kWh/1000),0,TER_handel_gas_kWh/1000)*0.902</f>
        <v>7703.9574198741848</v>
      </c>
      <c r="E8" s="33">
        <f>$C$28*'E Balans VL '!I13/100/3.6*1000000</f>
        <v>644.98980767462785</v>
      </c>
      <c r="F8" s="33">
        <f>$C$28*('E Balans VL '!L13+'E Balans VL '!N13)/100/3.6*1000000</f>
        <v>3425.1996215013569</v>
      </c>
      <c r="G8" s="34"/>
      <c r="H8" s="33"/>
      <c r="I8" s="33"/>
      <c r="J8" s="33">
        <f>$C$28*('E Balans VL '!D13+'E Balans VL '!E13)/100/3.6*1000000</f>
        <v>0</v>
      </c>
      <c r="K8" s="33"/>
      <c r="L8" s="33"/>
      <c r="M8" s="33"/>
      <c r="N8" s="33">
        <f>$C$28*'E Balans VL '!Y13/100/3.6*1000000</f>
        <v>24.633645625875445</v>
      </c>
      <c r="O8" s="33"/>
      <c r="P8" s="33"/>
      <c r="R8" s="32"/>
    </row>
    <row r="9" spans="1:18">
      <c r="A9" s="32" t="s">
        <v>51</v>
      </c>
      <c r="B9" s="37">
        <f t="shared" si="0"/>
        <v>5810.8010000000004</v>
      </c>
      <c r="C9" s="33"/>
      <c r="D9" s="37">
        <f>IF(ISERROR(TER_gezond_gas_kWh/1000),0,TER_gezond_gas_kWh/1000)*0.902</f>
        <v>7875.3213903036849</v>
      </c>
      <c r="E9" s="33">
        <f>$C$29*'E Balans VL '!I10/100/3.6*1000000</f>
        <v>0.36381351389515121</v>
      </c>
      <c r="F9" s="33">
        <f>$C$29*('E Balans VL '!L10+'E Balans VL '!N10)/100/3.6*1000000</f>
        <v>863.21218075412855</v>
      </c>
      <c r="G9" s="34"/>
      <c r="H9" s="33"/>
      <c r="I9" s="33"/>
      <c r="J9" s="33">
        <f>$C$29*('E Balans VL '!D10+'E Balans VL '!E10)/100/3.6*1000000</f>
        <v>0</v>
      </c>
      <c r="K9" s="33"/>
      <c r="L9" s="33"/>
      <c r="M9" s="33"/>
      <c r="N9" s="33">
        <f>$C$29*'E Balans VL '!Y10/100/3.6*1000000</f>
        <v>89.882030562368243</v>
      </c>
      <c r="O9" s="33"/>
      <c r="P9" s="33"/>
      <c r="R9" s="32"/>
    </row>
    <row r="10" spans="1:18">
      <c r="A10" s="32" t="s">
        <v>50</v>
      </c>
      <c r="B10" s="37">
        <f t="shared" si="0"/>
        <v>2551.0746379999996</v>
      </c>
      <c r="C10" s="33"/>
      <c r="D10" s="37">
        <f>IF(ISERROR(TER_ander_gas_kWh/1000),0,TER_ander_gas_kWh/1000)*0.902</f>
        <v>2360.0274862837828</v>
      </c>
      <c r="E10" s="33">
        <f>$C$30*'E Balans VL '!I14/100/3.6*1000000</f>
        <v>3.0407898084917715</v>
      </c>
      <c r="F10" s="33">
        <f>$C$30*('E Balans VL '!L14+'E Balans VL '!N14)/100/3.6*1000000</f>
        <v>667.47453717148073</v>
      </c>
      <c r="G10" s="34"/>
      <c r="H10" s="33"/>
      <c r="I10" s="33"/>
      <c r="J10" s="33">
        <f>$C$30*('E Balans VL '!D14+'E Balans VL '!E14)/100/3.6*1000000</f>
        <v>5.5373830454516867E-2</v>
      </c>
      <c r="K10" s="33"/>
      <c r="L10" s="33"/>
      <c r="M10" s="33"/>
      <c r="N10" s="33">
        <f>$C$30*'E Balans VL '!Y14/100/3.6*1000000</f>
        <v>2166.3101586718872</v>
      </c>
      <c r="O10" s="33"/>
      <c r="P10" s="33"/>
      <c r="R10" s="32"/>
    </row>
    <row r="11" spans="1:18">
      <c r="A11" s="32" t="s">
        <v>55</v>
      </c>
      <c r="B11" s="37">
        <f t="shared" si="0"/>
        <v>1792.3167599999999</v>
      </c>
      <c r="C11" s="33"/>
      <c r="D11" s="37">
        <f>IF(ISERROR(TER_onderwijs_gas_kWh/1000),0,TER_onderwijs_gas_kWh/1000)*0.902</f>
        <v>2825.4240070119135</v>
      </c>
      <c r="E11" s="33">
        <f>$C$31*'E Balans VL '!I11/100/3.6*1000000</f>
        <v>27.043173107753031</v>
      </c>
      <c r="F11" s="33">
        <f>$C$31*('E Balans VL '!L11+'E Balans VL '!N11)/100/3.6*1000000</f>
        <v>314.04252946406655</v>
      </c>
      <c r="G11" s="34"/>
      <c r="H11" s="33"/>
      <c r="I11" s="33"/>
      <c r="J11" s="33">
        <f>$C$31*('E Balans VL '!D11+'E Balans VL '!E11)/100/3.6*1000000</f>
        <v>0</v>
      </c>
      <c r="K11" s="33"/>
      <c r="L11" s="33"/>
      <c r="M11" s="33"/>
      <c r="N11" s="33">
        <f>$C$31*'E Balans VL '!Y11/100/3.6*1000000</f>
        <v>5.0437156197490216</v>
      </c>
      <c r="O11" s="33"/>
      <c r="P11" s="33"/>
      <c r="R11" s="32"/>
    </row>
    <row r="12" spans="1:18">
      <c r="A12" s="32" t="s">
        <v>260</v>
      </c>
      <c r="B12" s="37">
        <f t="shared" si="0"/>
        <v>8.4030000000000005</v>
      </c>
      <c r="C12" s="33"/>
      <c r="D12" s="37">
        <f>IF(ISERROR(TER_rest_gas_kWh/1000),0,TER_rest_gas_kWh/1000)*0.902</f>
        <v>19555.638405966718</v>
      </c>
      <c r="E12" s="33">
        <f>$C$32*'E Balans VL '!I8/100/3.6*1000000</f>
        <v>0.10434830579803633</v>
      </c>
      <c r="F12" s="33">
        <f>$C$32*('E Balans VL '!L8+'E Balans VL '!N8)/100/3.6*1000000</f>
        <v>1.4530862312384556</v>
      </c>
      <c r="G12" s="34"/>
      <c r="H12" s="33"/>
      <c r="I12" s="33"/>
      <c r="J12" s="33">
        <f>$C$32*('E Balans VL '!D8+'E Balans VL '!E8)/100/3.6*1000000</f>
        <v>2.0348076562461875E-5</v>
      </c>
      <c r="K12" s="33"/>
      <c r="L12" s="33"/>
      <c r="M12" s="33"/>
      <c r="N12" s="33">
        <f>$C$32*'E Balans VL '!Y8/100/3.6*1000000</f>
        <v>0.81366799062222517</v>
      </c>
      <c r="O12" s="33"/>
      <c r="P12" s="33"/>
      <c r="R12" s="32"/>
    </row>
    <row r="13" spans="1:18">
      <c r="A13" s="16" t="s">
        <v>488</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44114.746401999997</v>
      </c>
      <c r="C16" s="21">
        <f t="shared" ca="1" si="1"/>
        <v>35.357142857142861</v>
      </c>
      <c r="D16" s="21">
        <f t="shared" ca="1" si="1"/>
        <v>54220.252256354579</v>
      </c>
      <c r="E16" s="21">
        <f t="shared" si="1"/>
        <v>720.01371358475535</v>
      </c>
      <c r="F16" s="21">
        <f t="shared" ca="1" si="1"/>
        <v>7624.1448506391516</v>
      </c>
      <c r="G16" s="21">
        <f t="shared" si="1"/>
        <v>0</v>
      </c>
      <c r="H16" s="21">
        <f t="shared" si="1"/>
        <v>0</v>
      </c>
      <c r="I16" s="21">
        <f t="shared" si="1"/>
        <v>0</v>
      </c>
      <c r="J16" s="21">
        <f t="shared" si="1"/>
        <v>5.5394178531079329E-2</v>
      </c>
      <c r="K16" s="21">
        <f t="shared" si="1"/>
        <v>0</v>
      </c>
      <c r="L16" s="21">
        <f t="shared" ca="1" si="1"/>
        <v>0</v>
      </c>
      <c r="M16" s="21">
        <f t="shared" si="1"/>
        <v>0</v>
      </c>
      <c r="N16" s="21">
        <f t="shared" ca="1" si="1"/>
        <v>2300.0494355546998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0.16621289323293009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7332.4396337134121</v>
      </c>
      <c r="C20" s="23">
        <f t="shared" ref="C20:P20" ca="1" si="2">C16*C18</f>
        <v>8.4025210084033617</v>
      </c>
      <c r="D20" s="23">
        <f t="shared" ca="1" si="2"/>
        <v>10952.490955783625</v>
      </c>
      <c r="E20" s="23">
        <f t="shared" si="2"/>
        <v>163.44311298373947</v>
      </c>
      <c r="F20" s="23">
        <f t="shared" ca="1" si="2"/>
        <v>2035.6466751206535</v>
      </c>
      <c r="G20" s="23">
        <f t="shared" si="2"/>
        <v>0</v>
      </c>
      <c r="H20" s="23">
        <f t="shared" si="2"/>
        <v>0</v>
      </c>
      <c r="I20" s="23">
        <f t="shared" si="2"/>
        <v>0</v>
      </c>
      <c r="J20" s="23">
        <f t="shared" si="2"/>
        <v>1.960953920000208E-2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13044.431579</v>
      </c>
      <c r="C26" s="39">
        <f>IF(ISERROR(B26*3.6/1000000/'E Balans VL '!Z12*100),0,B26*3.6/1000000/'E Balans VL '!Z12*100)</f>
        <v>0.27573861953129891</v>
      </c>
      <c r="D26" s="237" t="s">
        <v>754</v>
      </c>
      <c r="F26" s="6"/>
    </row>
    <row r="27" spans="1:18">
      <c r="A27" s="231" t="s">
        <v>53</v>
      </c>
      <c r="B27" s="33">
        <f>IF(ISERROR(TER_horeca_ele_kWh/1000),0,TER_horeca_ele_kWh/1000)</f>
        <v>3099.8980000000001</v>
      </c>
      <c r="C27" s="39">
        <f>IF(ISERROR(B27*3.6/1000000/'E Balans VL '!Z9*100),0,B27*3.6/1000000/'E Balans VL '!Z9*100)</f>
        <v>0.24436380394903057</v>
      </c>
      <c r="D27" s="237" t="s">
        <v>754</v>
      </c>
      <c r="F27" s="6"/>
    </row>
    <row r="28" spans="1:18">
      <c r="A28" s="171" t="s">
        <v>52</v>
      </c>
      <c r="B28" s="33">
        <f>IF(ISERROR(TER_handel_ele_kWh/1000),0,TER_handel_ele_kWh/1000)</f>
        <v>17783.071425000002</v>
      </c>
      <c r="C28" s="39">
        <f>IF(ISERROR(B28*3.6/1000000/'E Balans VL '!Z13*100),0,B28*3.6/1000000/'E Balans VL '!Z13*100)</f>
        <v>0.51613658441347421</v>
      </c>
      <c r="D28" s="237" t="s">
        <v>754</v>
      </c>
      <c r="F28" s="6"/>
    </row>
    <row r="29" spans="1:18">
      <c r="A29" s="231" t="s">
        <v>51</v>
      </c>
      <c r="B29" s="33">
        <f>IF(ISERROR(TER_gezond_ele_kWh/1000),0,TER_gezond_ele_kWh/1000)</f>
        <v>5810.8010000000004</v>
      </c>
      <c r="C29" s="39">
        <f>IF(ISERROR(B29*3.6/1000000/'E Balans VL '!Z10*100),0,B29*3.6/1000000/'E Balans VL '!Z10*100)</f>
        <v>0.61197276117103017</v>
      </c>
      <c r="D29" s="237" t="s">
        <v>754</v>
      </c>
      <c r="F29" s="6"/>
    </row>
    <row r="30" spans="1:18">
      <c r="A30" s="231" t="s">
        <v>50</v>
      </c>
      <c r="B30" s="33">
        <f>IF(ISERROR(TER_ander_ele_kWh/1000),0,TER_ander_ele_kWh/1000)</f>
        <v>2551.0746379999996</v>
      </c>
      <c r="C30" s="39">
        <f>IF(ISERROR(B30*3.6/1000000/'E Balans VL '!Z14*100),0,B30*3.6/1000000/'E Balans VL '!Z14*100)</f>
        <v>0.18816781938953511</v>
      </c>
      <c r="D30" s="237" t="s">
        <v>754</v>
      </c>
      <c r="F30" s="6"/>
    </row>
    <row r="31" spans="1:18">
      <c r="A31" s="231" t="s">
        <v>55</v>
      </c>
      <c r="B31" s="33">
        <f>IF(ISERROR(TER_onderwijs_ele_kWh/1000),0,TER_onderwijs_ele_kWh/1000)</f>
        <v>1792.3167599999999</v>
      </c>
      <c r="C31" s="39">
        <f>IF(ISERROR(B31*3.6/1000000/'E Balans VL '!Z11*100),0,B31*3.6/1000000/'E Balans VL '!Z11*100)</f>
        <v>0.44511620856944273</v>
      </c>
      <c r="D31" s="237" t="s">
        <v>754</v>
      </c>
    </row>
    <row r="32" spans="1:18">
      <c r="A32" s="231" t="s">
        <v>260</v>
      </c>
      <c r="B32" s="33">
        <f>IF(ISERROR(TER_rest_ele_kWh/1000),0,TER_rest_ele_kWh/1000)</f>
        <v>8.4030000000000005</v>
      </c>
      <c r="C32" s="39">
        <f>IF(ISERROR(B32*3.6/1000000/'E Balans VL '!Z8*100),0,B32*3.6/1000000/'E Balans VL '!Z8*100)</f>
        <v>6.9145536151318156E-5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25492.636538000002</v>
      </c>
      <c r="C5" s="17">
        <f>IF(ISERROR('Eigen informatie GS &amp; warmtenet'!B59),0,'Eigen informatie GS &amp; warmtenet'!B59)</f>
        <v>0</v>
      </c>
      <c r="D5" s="30">
        <f>SUM(D6:D15)</f>
        <v>16272.27835085984</v>
      </c>
      <c r="E5" s="17">
        <f>SUM(E6:E15)</f>
        <v>4545.5412497186553</v>
      </c>
      <c r="F5" s="17">
        <f>SUM(F6:F15)</f>
        <v>13216.659703552034</v>
      </c>
      <c r="G5" s="18"/>
      <c r="H5" s="17"/>
      <c r="I5" s="17"/>
      <c r="J5" s="17">
        <f>SUM(J6:J15)</f>
        <v>1.3114218111239246</v>
      </c>
      <c r="K5" s="17"/>
      <c r="L5" s="17"/>
      <c r="M5" s="17"/>
      <c r="N5" s="17">
        <f>SUM(N6:N15)</f>
        <v>9807.2391285897993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4645.8697380000003</v>
      </c>
      <c r="C8" s="33"/>
      <c r="D8" s="37">
        <f>IF( ISERROR(IND_metaal_Gas_kWH/1000),0,IND_metaal_Gas_kWH/1000)*0.902</f>
        <v>78.129358548847989</v>
      </c>
      <c r="E8" s="33">
        <f>C30*'E Balans VL '!I18/100/3.6*1000000</f>
        <v>42.714285217245319</v>
      </c>
      <c r="F8" s="33">
        <f>C30*'E Balans VL '!L18/100/3.6*1000000+C30*'E Balans VL '!N18/100/3.6*1000000</f>
        <v>435.62790476374124</v>
      </c>
      <c r="G8" s="34"/>
      <c r="H8" s="33"/>
      <c r="I8" s="33"/>
      <c r="J8" s="40">
        <f>C30*'E Balans VL '!D18/100/3.6*1000000+C30*'E Balans VL '!E18/100/3.6*1000000</f>
        <v>0</v>
      </c>
      <c r="K8" s="33"/>
      <c r="L8" s="33"/>
      <c r="M8" s="33"/>
      <c r="N8" s="33">
        <f>C30*'E Balans VL '!Y18/100/3.6*1000000</f>
        <v>66.281009435624796</v>
      </c>
      <c r="O8" s="33"/>
      <c r="P8" s="33"/>
      <c r="R8" s="32"/>
    </row>
    <row r="9" spans="1:18">
      <c r="A9" s="6" t="s">
        <v>33</v>
      </c>
      <c r="B9" s="37">
        <f t="shared" si="0"/>
        <v>15306.488800000001</v>
      </c>
      <c r="C9" s="33"/>
      <c r="D9" s="37">
        <f>IF( ISERROR(IND_andere_gas_kWh/1000),0,IND_andere_gas_kWh/1000)*0.902</f>
        <v>3679.9309368650743</v>
      </c>
      <c r="E9" s="33">
        <f>C31*'E Balans VL '!I19/100/3.6*1000000</f>
        <v>4474.38465843014</v>
      </c>
      <c r="F9" s="33">
        <f>C31*'E Balans VL '!L19/100/3.6*1000000+C31*'E Balans VL '!N19/100/3.6*1000000</f>
        <v>12299.922345543613</v>
      </c>
      <c r="G9" s="34"/>
      <c r="H9" s="33"/>
      <c r="I9" s="33"/>
      <c r="J9" s="40">
        <f>C31*'E Balans VL '!D19/100/3.6*1000000+C31*'E Balans VL '!E19/100/3.6*1000000</f>
        <v>0</v>
      </c>
      <c r="K9" s="33"/>
      <c r="L9" s="33"/>
      <c r="M9" s="33"/>
      <c r="N9" s="33">
        <f>C31*'E Balans VL '!Y19/100/3.6*1000000</f>
        <v>5057.5012863305483</v>
      </c>
      <c r="O9" s="33"/>
      <c r="P9" s="33"/>
      <c r="R9" s="32"/>
    </row>
    <row r="10" spans="1:18">
      <c r="A10" s="6" t="s">
        <v>41</v>
      </c>
      <c r="B10" s="37">
        <f t="shared" si="0"/>
        <v>3333.4009999999998</v>
      </c>
      <c r="C10" s="33"/>
      <c r="D10" s="37">
        <f>IF( ISERROR(IND_voed_gas_kWh/1000),0,IND_voed_gas_kWh/1000)*0.902</f>
        <v>608.59900568828152</v>
      </c>
      <c r="E10" s="33">
        <f>C32*'E Balans VL '!I20/100/3.6*1000000</f>
        <v>7.0518615004946552</v>
      </c>
      <c r="F10" s="33">
        <f>C32*'E Balans VL '!L20/100/3.6*1000000+C32*'E Balans VL '!N20/100/3.6*1000000</f>
        <v>211.94104054927229</v>
      </c>
      <c r="G10" s="34"/>
      <c r="H10" s="33"/>
      <c r="I10" s="33"/>
      <c r="J10" s="40">
        <f>C32*'E Balans VL '!D20/100/3.6*1000000+C32*'E Balans VL '!E20/100/3.6*1000000</f>
        <v>0</v>
      </c>
      <c r="K10" s="33"/>
      <c r="L10" s="33"/>
      <c r="M10" s="33"/>
      <c r="N10" s="33">
        <f>C32*'E Balans VL '!Y20/100/3.6*1000000</f>
        <v>230.03756380483878</v>
      </c>
      <c r="O10" s="33"/>
      <c r="P10" s="33"/>
      <c r="R10" s="32"/>
    </row>
    <row r="11" spans="1:18">
      <c r="A11" s="6" t="s">
        <v>40</v>
      </c>
      <c r="B11" s="37">
        <f t="shared" si="0"/>
        <v>64.686999999999998</v>
      </c>
      <c r="C11" s="33"/>
      <c r="D11" s="37">
        <f>IF( ISERROR(IND_textiel_gas_kWh/1000),0,IND_textiel_gas_kWh/1000)*0.902</f>
        <v>0</v>
      </c>
      <c r="E11" s="33">
        <f>C33*'E Balans VL '!I21/100/3.6*1000000</f>
        <v>0.19211481290844556</v>
      </c>
      <c r="F11" s="33">
        <f>C33*'E Balans VL '!L21/100/3.6*1000000+C33*'E Balans VL '!N21/100/3.6*1000000</f>
        <v>6.5351629244413401</v>
      </c>
      <c r="G11" s="34"/>
      <c r="H11" s="33"/>
      <c r="I11" s="33"/>
      <c r="J11" s="40">
        <f>C33*'E Balans VL '!D21/100/3.6*1000000+C33*'E Balans VL '!E21/100/3.6*1000000</f>
        <v>0</v>
      </c>
      <c r="K11" s="33"/>
      <c r="L11" s="33"/>
      <c r="M11" s="33"/>
      <c r="N11" s="33">
        <f>C33*'E Balans VL '!Y21/100/3.6*1000000</f>
        <v>3.5676944891324518</v>
      </c>
      <c r="O11" s="33"/>
      <c r="P11" s="33"/>
      <c r="R11" s="32"/>
    </row>
    <row r="12" spans="1:18">
      <c r="A12" s="6" t="s">
        <v>37</v>
      </c>
      <c r="B12" s="37">
        <f t="shared" si="0"/>
        <v>658.63400000000001</v>
      </c>
      <c r="C12" s="33"/>
      <c r="D12" s="37">
        <f>IF( ISERROR(IND_min_gas_kWh/1000),0,IND_min_gas_kWh/1000)*0.902</f>
        <v>0</v>
      </c>
      <c r="E12" s="33">
        <f>C34*'E Balans VL '!I22/100/3.6*1000000</f>
        <v>19.091087626402725</v>
      </c>
      <c r="F12" s="33">
        <f>C34*'E Balans VL '!L22/100/3.6*1000000+C34*'E Balans VL '!N22/100/3.6*1000000</f>
        <v>226.44581193007687</v>
      </c>
      <c r="G12" s="34"/>
      <c r="H12" s="33"/>
      <c r="I12" s="33"/>
      <c r="J12" s="40">
        <f>C34*'E Balans VL '!D22/100/3.6*1000000+C34*'E Balans VL '!E22/100/3.6*1000000</f>
        <v>1.082334138395364</v>
      </c>
      <c r="K12" s="33"/>
      <c r="L12" s="33"/>
      <c r="M12" s="33"/>
      <c r="N12" s="33">
        <f>C34*'E Balans VL '!Y22/100/3.6*1000000</f>
        <v>144.18580612437199</v>
      </c>
      <c r="O12" s="33"/>
      <c r="P12" s="33"/>
      <c r="R12" s="32"/>
    </row>
    <row r="13" spans="1:18">
      <c r="A13" s="6" t="s">
        <v>39</v>
      </c>
      <c r="B13" s="37">
        <f t="shared" si="0"/>
        <v>1481.24</v>
      </c>
      <c r="C13" s="33"/>
      <c r="D13" s="37">
        <f>IF( ISERROR(IND_papier_gas_kWh/1000),0,IND_papier_gas_kWh/1000)*0.902</f>
        <v>774.88530442282047</v>
      </c>
      <c r="E13" s="33">
        <f>C35*'E Balans VL '!I23/100/3.6*1000000</f>
        <v>2.1015408030417637</v>
      </c>
      <c r="F13" s="33">
        <f>C35*'E Balans VL '!L23/100/3.6*1000000+C35*'E Balans VL '!N23/100/3.6*1000000</f>
        <v>36.16263822151096</v>
      </c>
      <c r="G13" s="34"/>
      <c r="H13" s="33"/>
      <c r="I13" s="33"/>
      <c r="J13" s="40">
        <f>C35*'E Balans VL '!D23/100/3.6*1000000+C35*'E Balans VL '!E23/100/3.6*1000000</f>
        <v>0.22908767272856065</v>
      </c>
      <c r="K13" s="33"/>
      <c r="L13" s="33"/>
      <c r="M13" s="33"/>
      <c r="N13" s="33">
        <f>C35*'E Balans VL '!Y23/100/3.6*1000000</f>
        <v>4305.6140464081855</v>
      </c>
      <c r="O13" s="33"/>
      <c r="P13" s="33"/>
      <c r="R13" s="32"/>
    </row>
    <row r="14" spans="1:18">
      <c r="A14" s="6" t="s">
        <v>34</v>
      </c>
      <c r="B14" s="37">
        <f t="shared" si="0"/>
        <v>2.3159999999999998</v>
      </c>
      <c r="C14" s="33"/>
      <c r="D14" s="37">
        <f>IF( ISERROR(IND_chemie_gas_kWh/1000),0,IND_chemie_gas_kWh/1000)*0.902</f>
        <v>0</v>
      </c>
      <c r="E14" s="33">
        <f>C36*'E Balans VL '!I24/100/3.6*1000000</f>
        <v>5.7013284224454097E-3</v>
      </c>
      <c r="F14" s="33">
        <f>C36*'E Balans VL '!L24/100/3.6*1000000+C36*'E Balans VL '!N24/100/3.6*1000000</f>
        <v>2.4799619377546964E-2</v>
      </c>
      <c r="G14" s="34"/>
      <c r="H14" s="33"/>
      <c r="I14" s="33"/>
      <c r="J14" s="40">
        <f>C36*'E Balans VL '!D24/100/3.6*1000000+C36*'E Balans VL '!E24/100/3.6*1000000</f>
        <v>0</v>
      </c>
      <c r="K14" s="33"/>
      <c r="L14" s="33"/>
      <c r="M14" s="33"/>
      <c r="N14" s="33">
        <f>C36*'E Balans VL '!Y24/100/3.6*1000000</f>
        <v>5.1721997099771114E-2</v>
      </c>
      <c r="O14" s="33"/>
      <c r="P14" s="33"/>
      <c r="R14" s="32"/>
    </row>
    <row r="15" spans="1:18">
      <c r="A15" s="6" t="s">
        <v>270</v>
      </c>
      <c r="B15" s="37">
        <f t="shared" si="0"/>
        <v>0</v>
      </c>
      <c r="C15" s="33"/>
      <c r="D15" s="37">
        <f>IF( ISERROR(IND_rest_gas_kWh/1000),0,IND_rest_gas_kWh/1000)*0.902</f>
        <v>11130.733745334817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25492.636538000002</v>
      </c>
      <c r="C18" s="21">
        <f>C5+C16</f>
        <v>0</v>
      </c>
      <c r="D18" s="21">
        <f>MAX((D5+D16),0)</f>
        <v>16272.27835085984</v>
      </c>
      <c r="E18" s="21">
        <f>MAX((E5+E16),0)</f>
        <v>4545.5412497186553</v>
      </c>
      <c r="F18" s="21">
        <f>MAX((F5+F16),0)</f>
        <v>13216.659703552034</v>
      </c>
      <c r="G18" s="21"/>
      <c r="H18" s="21"/>
      <c r="I18" s="21"/>
      <c r="J18" s="21">
        <f>MAX((J5+J16),0)</f>
        <v>1.3114218111239246</v>
      </c>
      <c r="K18" s="21"/>
      <c r="L18" s="21">
        <f>MAX((L5+L16),0)</f>
        <v>0</v>
      </c>
      <c r="M18" s="21"/>
      <c r="N18" s="21">
        <f>MAX((N5+N16),0)</f>
        <v>9807.2391285897993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0.16621289323293009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4237.2048751164866</v>
      </c>
      <c r="C22" s="23">
        <f ca="1">C18*C20</f>
        <v>0</v>
      </c>
      <c r="D22" s="23">
        <f>D18*D20</f>
        <v>3287.000226873688</v>
      </c>
      <c r="E22" s="23">
        <f>E18*E20</f>
        <v>1031.8378636861348</v>
      </c>
      <c r="F22" s="23">
        <f>F18*F20</f>
        <v>3528.8481408483931</v>
      </c>
      <c r="G22" s="23"/>
      <c r="H22" s="23"/>
      <c r="I22" s="23"/>
      <c r="J22" s="23">
        <f>J18*J20</f>
        <v>0.46424332113786931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4645.8697380000003</v>
      </c>
      <c r="C30" s="39">
        <f>IF(ISERROR(B30*3.6/1000000/'E Balans VL '!Z18*100),0,B30*3.6/1000000/'E Balans VL '!Z18*100)</f>
        <v>0.26329335084162231</v>
      </c>
      <c r="D30" s="237" t="s">
        <v>754</v>
      </c>
    </row>
    <row r="31" spans="1:18">
      <c r="A31" s="6" t="s">
        <v>33</v>
      </c>
      <c r="B31" s="37">
        <f>IF( ISERROR(IND_ander_ele_kWh/1000),0,IND_ander_ele_kWh/1000)</f>
        <v>15306.488800000001</v>
      </c>
      <c r="C31" s="39">
        <f>IF(ISERROR(B31*3.6/1000000/'E Balans VL '!Z19*100),0,B31*3.6/1000000/'E Balans VL '!Z19*100)</f>
        <v>0.69423859685792688</v>
      </c>
      <c r="D31" s="237" t="s">
        <v>754</v>
      </c>
    </row>
    <row r="32" spans="1:18">
      <c r="A32" s="171" t="s">
        <v>41</v>
      </c>
      <c r="B32" s="37">
        <f>IF( ISERROR(IND_voed_ele_kWh/1000),0,IND_voed_ele_kWh/1000)</f>
        <v>3333.4009999999998</v>
      </c>
      <c r="C32" s="39">
        <f>IF(ISERROR(B32*3.6/1000000/'E Balans VL '!Z20*100),0,B32*3.6/1000000/'E Balans VL '!Z20*100)</f>
        <v>0.10311722529283147</v>
      </c>
      <c r="D32" s="237" t="s">
        <v>754</v>
      </c>
    </row>
    <row r="33" spans="1:5">
      <c r="A33" s="171" t="s">
        <v>40</v>
      </c>
      <c r="B33" s="37">
        <f>IF( ISERROR(IND_textiel_ele_kWh/1000),0,IND_textiel_ele_kWh/1000)</f>
        <v>64.686999999999998</v>
      </c>
      <c r="C33" s="39">
        <f>IF(ISERROR(B33*3.6/1000000/'E Balans VL '!Z21*100),0,B33*3.6/1000000/'E Balans VL '!Z21*100)</f>
        <v>8.4344657673817609E-3</v>
      </c>
      <c r="D33" s="237" t="s">
        <v>754</v>
      </c>
    </row>
    <row r="34" spans="1:5">
      <c r="A34" s="171" t="s">
        <v>37</v>
      </c>
      <c r="B34" s="37">
        <f>IF( ISERROR(IND_min_ele_kWh/1000),0,IND_min_ele_kWh/1000)</f>
        <v>658.63400000000001</v>
      </c>
      <c r="C34" s="39">
        <f>IF(ISERROR(B34*3.6/1000000/'E Balans VL '!Z22*100),0,B34*3.6/1000000/'E Balans VL '!Z22*100)</f>
        <v>0.11846770745586278</v>
      </c>
      <c r="D34" s="237" t="s">
        <v>754</v>
      </c>
    </row>
    <row r="35" spans="1:5">
      <c r="A35" s="171" t="s">
        <v>39</v>
      </c>
      <c r="B35" s="37">
        <f>IF( ISERROR(IND_papier_ele_kWh/1000),0,IND_papier_ele_kWh/1000)</f>
        <v>1481.24</v>
      </c>
      <c r="C35" s="39">
        <f>IF(ISERROR(B35*3.6/1000000/'E Balans VL '!Z22*100),0,B35*3.6/1000000/'E Balans VL '!Z22*100)</f>
        <v>0.26642886184424458</v>
      </c>
      <c r="D35" s="237" t="s">
        <v>754</v>
      </c>
    </row>
    <row r="36" spans="1:5">
      <c r="A36" s="171" t="s">
        <v>34</v>
      </c>
      <c r="B36" s="37">
        <f>IF( ISERROR(IND_chemie_ele_kWh/1000),0,IND_chemie_ele_kWh/1000)</f>
        <v>2.3159999999999998</v>
      </c>
      <c r="C36" s="39">
        <f>IF(ISERROR(B36*3.6/1000000/'E Balans VL '!Z24*100),0,B36*3.6/1000000/'E Balans VL '!Z24*100)</f>
        <v>7.062416159393434E-5</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1619.6196</v>
      </c>
      <c r="C5" s="17">
        <f>'Eigen informatie GS &amp; warmtenet'!B60</f>
        <v>0</v>
      </c>
      <c r="D5" s="30">
        <f>IF(ISERROR(SUM(LB_lb_gas_kWh,LB_rest_gas_kWh)/1000),0,SUM(LB_lb_gas_kWh,LB_rest_gas_kWh)/1000)*0.902</f>
        <v>28254.951762660785</v>
      </c>
      <c r="E5" s="17">
        <f>B17*'E Balans VL '!I25/3.6*1000000/100</f>
        <v>47.605566933235771</v>
      </c>
      <c r="F5" s="17">
        <f>B17*('E Balans VL '!L25/3.6*1000000+'E Balans VL '!N25/3.6*1000000)/100</f>
        <v>6747.2477339505185</v>
      </c>
      <c r="G5" s="18"/>
      <c r="H5" s="17"/>
      <c r="I5" s="17"/>
      <c r="J5" s="17">
        <f>('E Balans VL '!D25+'E Balans VL '!E25)/3.6*1000000*landbouw!B17/100</f>
        <v>234.64809831094746</v>
      </c>
      <c r="K5" s="17"/>
      <c r="L5" s="17">
        <f>L6*(-1)</f>
        <v>0</v>
      </c>
      <c r="M5" s="17"/>
      <c r="N5" s="17">
        <f>N6*(-1)</f>
        <v>0</v>
      </c>
      <c r="O5" s="17"/>
      <c r="P5" s="17"/>
      <c r="R5" s="32"/>
    </row>
    <row r="6" spans="1:18">
      <c r="A6" s="16" t="s">
        <v>488</v>
      </c>
      <c r="B6" s="17" t="s">
        <v>211</v>
      </c>
      <c r="C6" s="17">
        <f>'lokale energieproductie'!O92+'lokale energieproductie'!O61</f>
        <v>20250</v>
      </c>
      <c r="D6" s="310">
        <f>('lokale energieproductie'!P61+'lokale energieproductie'!P92)*(-1)</f>
        <v>-40500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1619.6196</v>
      </c>
      <c r="C8" s="21">
        <f>C5+C6</f>
        <v>20250</v>
      </c>
      <c r="D8" s="21">
        <f>MAX((D5+D6),0)</f>
        <v>0</v>
      </c>
      <c r="E8" s="21">
        <f>MAX((E5+E6),0)</f>
        <v>47.605566933235771</v>
      </c>
      <c r="F8" s="21">
        <f>MAX((F5+F6),0)</f>
        <v>6747.2477339505185</v>
      </c>
      <c r="G8" s="21"/>
      <c r="H8" s="21"/>
      <c r="I8" s="21"/>
      <c r="J8" s="21">
        <f>MAX((J5+J6),0)</f>
        <v>234.64809831094746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0.16621289323293009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269.20165965276095</v>
      </c>
      <c r="C12" s="23">
        <f ca="1">C8*C10</f>
        <v>4812.3529411764703</v>
      </c>
      <c r="D12" s="23">
        <f>D8*D10</f>
        <v>0</v>
      </c>
      <c r="E12" s="23">
        <f>E8*E10</f>
        <v>10.80646369384452</v>
      </c>
      <c r="F12" s="23">
        <f>F8*F10</f>
        <v>1801.5151449647885</v>
      </c>
      <c r="G12" s="23"/>
      <c r="H12" s="23"/>
      <c r="I12" s="23"/>
      <c r="J12" s="23">
        <f>J8*J10</f>
        <v>83.065426802075393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0.22982910264152806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158.4360114656007</v>
      </c>
      <c r="C26" s="247">
        <f>B26*'GWP N2O_CH4'!B5</f>
        <v>3327.1562407776146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64.604626116897805</v>
      </c>
      <c r="C27" s="247">
        <f>B27*'GWP N2O_CH4'!B5</f>
        <v>1356.697148454854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2.3673451646725385</v>
      </c>
      <c r="C28" s="247">
        <f>B28*'GWP N2O_CH4'!B4</f>
        <v>733.87700104848693</v>
      </c>
      <c r="D28" s="50"/>
    </row>
    <row r="29" spans="1:4">
      <c r="A29" s="41" t="s">
        <v>277</v>
      </c>
      <c r="B29" s="247">
        <f>B34*'ha_N2O bodem landbouw'!B4</f>
        <v>16.206524299852152</v>
      </c>
      <c r="C29" s="247">
        <f>B29*'GWP N2O_CH4'!B4</f>
        <v>5024.0225329541672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3.6982729950589131E-3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2.4442954657451471E-4</v>
      </c>
      <c r="C5" s="463" t="s">
        <v>211</v>
      </c>
      <c r="D5" s="448">
        <f>SUM(D6:D11)</f>
        <v>8.0099963008760486E-4</v>
      </c>
      <c r="E5" s="448">
        <f>SUM(E6:E11)</f>
        <v>1.1406991661547406E-3</v>
      </c>
      <c r="F5" s="461" t="s">
        <v>211</v>
      </c>
      <c r="G5" s="448">
        <f>SUM(G6:G11)</f>
        <v>0.40516706297655114</v>
      </c>
      <c r="H5" s="448">
        <f>SUM(H6:H11)</f>
        <v>9.155507524846844E-2</v>
      </c>
      <c r="I5" s="463" t="s">
        <v>211</v>
      </c>
      <c r="J5" s="463" t="s">
        <v>211</v>
      </c>
      <c r="K5" s="463" t="s">
        <v>211</v>
      </c>
      <c r="L5" s="463" t="s">
        <v>211</v>
      </c>
      <c r="M5" s="448">
        <f>SUM(M6:M11)</f>
        <v>2.6372922800340218E-2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1.6146284604967468E-4</v>
      </c>
      <c r="C6" s="449"/>
      <c r="D6" s="892">
        <f>vkm_2011_GW_PW*SUMIFS(TableVerdeelsleutelVkm[CNG],TableVerdeelsleutelVkm[Voertuigtype],"Lichte voertuigen")*SUMIFS(TableECFTransport[EnergieConsumptieFactor (PJ per km)],TableECFTransport[Index],CONCATENATE($A6,"_CNG_CNG"))</f>
        <v>4.8429586690485935E-4</v>
      </c>
      <c r="E6" s="892">
        <f>vkm_2011_GW_PW*SUMIFS(TableVerdeelsleutelVkm[LPG],TableVerdeelsleutelVkm[Voertuigtype],"Lichte voertuigen")*SUMIFS(TableECFTransport[EnergieConsumptieFactor (PJ per km)],TableECFTransport[Index],CONCATENATE($A6,"_LPG_LPG"))</f>
        <v>6.6161771986496557E-4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0.17106401332940696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5.5083082292694485E-2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1.1619271829961563E-2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7.3998486815117906E-2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2.2553235124355508E-5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4.3242219127518746E-3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2.5686078285199189E-5</v>
      </c>
      <c r="C8" s="449"/>
      <c r="D8" s="451">
        <f>vkm_2011_NGW_PW*SUMIFS(TableVerdeelsleutelVkm[CNG],TableVerdeelsleutelVkm[Voertuigtype],"Lichte voertuigen")*SUMIFS(TableECFTransport[EnergieConsumptieFactor (PJ per km)],TableECFTransport[Index],CONCATENATE($A8,"_CNG_CNG"))</f>
        <v>1.3698419253413955E-4</v>
      </c>
      <c r="E8" s="451">
        <f>vkm_2011_NGW_PW*SUMIFS(TableVerdeelsleutelVkm[LPG],TableVerdeelsleutelVkm[Voertuigtype],"Lichte voertuigen")*SUMIFS(TableECFTransport[EnergieConsumptieFactor (PJ per km)],TableECFTransport[Index],CONCATENATE($A8,"_LPG_LPG"))</f>
        <v>1.7331295311097576E-4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4.1758910146368428E-2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1.5140712622318579E-2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2.8863756077963402E-3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6.1038142312415953E-3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1.751329115750502E-6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3.5668309646430762E-4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5.7280622239640842E-5</v>
      </c>
      <c r="C10" s="449"/>
      <c r="D10" s="451">
        <f>vkm_2011_SW_PW*SUMIFS(TableVerdeelsleutelVkm[CNG],TableVerdeelsleutelVkm[Voertuigtype],"Lichte voertuigen")*SUMIFS(TableECFTransport[EnergieConsumptieFactor (PJ per km)],TableECFTransport[Index],CONCATENATE($A10,"_CNG_CNG"))</f>
        <v>1.7971957064860596E-4</v>
      </c>
      <c r="E10" s="451">
        <f>vkm_2011_SW_PW*SUMIFS(TableVerdeelsleutelVkm[LPG],TableVerdeelsleutelVkm[Voertuigtype],"Lichte voertuigen")*SUMIFS(TableECFTransport[EnergieConsumptieFactor (PJ per km)],TableECFTransport[Index],CONCATENATE($A10,"_LPG_LPG"))</f>
        <v>3.0576849317879917E-4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7.0480330456650475E-2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2.1293230865301646E-2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4.7459387344512679E-3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4.1761507997765797E-2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1.3744903913623177E-5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2.4404316189148611E-3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67.897096270698526</v>
      </c>
      <c r="C14" s="21"/>
      <c r="D14" s="21">
        <f t="shared" ref="D14:M14" si="0">((D5)*10^9/3600)+D12</f>
        <v>222.49989724655691</v>
      </c>
      <c r="E14" s="21">
        <f t="shared" si="0"/>
        <v>316.86087948742795</v>
      </c>
      <c r="F14" s="21"/>
      <c r="G14" s="21">
        <f t="shared" si="0"/>
        <v>112546.40638237531</v>
      </c>
      <c r="H14" s="21">
        <f t="shared" si="0"/>
        <v>25431.965346796791</v>
      </c>
      <c r="I14" s="21"/>
      <c r="J14" s="21"/>
      <c r="K14" s="21"/>
      <c r="L14" s="21"/>
      <c r="M14" s="21">
        <f t="shared" si="0"/>
        <v>7325.8118889833931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0.16621289323293009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11.285372813267591</v>
      </c>
      <c r="C18" s="23"/>
      <c r="D18" s="23">
        <f t="shared" ref="D18:M18" si="1">D14*D16</f>
        <v>44.944979243804497</v>
      </c>
      <c r="E18" s="23">
        <f t="shared" si="1"/>
        <v>71.927419643646147</v>
      </c>
      <c r="F18" s="23"/>
      <c r="G18" s="23">
        <f t="shared" si="1"/>
        <v>30049.890504094208</v>
      </c>
      <c r="H18" s="23">
        <f t="shared" si="1"/>
        <v>6332.5593713524013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1.0566018418312197E-2</v>
      </c>
      <c r="H50" s="321">
        <f t="shared" si="2"/>
        <v>0</v>
      </c>
      <c r="I50" s="321">
        <f t="shared" si="2"/>
        <v>0</v>
      </c>
      <c r="J50" s="321">
        <f t="shared" si="2"/>
        <v>0</v>
      </c>
      <c r="K50" s="321">
        <f t="shared" si="2"/>
        <v>0</v>
      </c>
      <c r="L50" s="321">
        <f t="shared" si="2"/>
        <v>0</v>
      </c>
      <c r="M50" s="321">
        <f t="shared" si="2"/>
        <v>6.0010320166474442E-4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1.0566018418312197E-2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6.0010320166474442E-4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2935.0051161978326</v>
      </c>
      <c r="H54" s="21">
        <f t="shared" si="3"/>
        <v>0</v>
      </c>
      <c r="I54" s="21">
        <f t="shared" si="3"/>
        <v>0</v>
      </c>
      <c r="J54" s="21">
        <f t="shared" si="3"/>
        <v>0</v>
      </c>
      <c r="K54" s="21">
        <f t="shared" si="3"/>
        <v>0</v>
      </c>
      <c r="L54" s="21">
        <f t="shared" si="3"/>
        <v>0</v>
      </c>
      <c r="M54" s="21">
        <f t="shared" si="3"/>
        <v>166.69533379576234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0.16621289323293009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783.64636602482142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46135.884401999996</v>
      </c>
      <c r="D10" s="1013">
        <f ca="1">tertiair!C16</f>
        <v>35.357142857142861</v>
      </c>
      <c r="E10" s="1013">
        <f ca="1">tertiair!D16</f>
        <v>54220.252256354579</v>
      </c>
      <c r="F10" s="1013">
        <f>tertiair!E16</f>
        <v>720.01371358475535</v>
      </c>
      <c r="G10" s="1013">
        <f ca="1">tertiair!F16</f>
        <v>7624.1448506391516</v>
      </c>
      <c r="H10" s="1013">
        <f>tertiair!G16</f>
        <v>0</v>
      </c>
      <c r="I10" s="1013">
        <f>tertiair!H16</f>
        <v>0</v>
      </c>
      <c r="J10" s="1013">
        <f>tertiair!I16</f>
        <v>0</v>
      </c>
      <c r="K10" s="1013">
        <f>tertiair!J16</f>
        <v>5.5394178531079329E-2</v>
      </c>
      <c r="L10" s="1013">
        <f>tertiair!K16</f>
        <v>0</v>
      </c>
      <c r="M10" s="1013">
        <f ca="1">tertiair!L16</f>
        <v>0</v>
      </c>
      <c r="N10" s="1013">
        <f>tertiair!M16</f>
        <v>0</v>
      </c>
      <c r="O10" s="1013">
        <f ca="1">tertiair!N16</f>
        <v>2300.0494355546998</v>
      </c>
      <c r="P10" s="1013">
        <f>tertiair!O16</f>
        <v>3.1266666666666669</v>
      </c>
      <c r="Q10" s="1014">
        <f>tertiair!P16</f>
        <v>19.066666666666666</v>
      </c>
      <c r="R10" s="700">
        <f ca="1">SUM(C10:Q10)</f>
        <v>111057.95052850219</v>
      </c>
      <c r="S10" s="67"/>
    </row>
    <row r="11" spans="1:19" s="473" customFormat="1">
      <c r="A11" s="809" t="s">
        <v>225</v>
      </c>
      <c r="B11" s="814"/>
      <c r="C11" s="1013">
        <f>huishoudens!B8</f>
        <v>38353.706557065183</v>
      </c>
      <c r="D11" s="1013">
        <f>huishoudens!C8</f>
        <v>0</v>
      </c>
      <c r="E11" s="1013">
        <f>huishoudens!D8</f>
        <v>75584.762812971807</v>
      </c>
      <c r="F11" s="1013">
        <f>huishoudens!E8</f>
        <v>5343.0019477904698</v>
      </c>
      <c r="G11" s="1013">
        <f>huishoudens!F8</f>
        <v>68174.214041709623</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11139.415887027741</v>
      </c>
      <c r="P11" s="1013">
        <f>huishoudens!O8</f>
        <v>339.2433333333334</v>
      </c>
      <c r="Q11" s="1014">
        <f>huishoudens!P8</f>
        <v>1372.8</v>
      </c>
      <c r="R11" s="700">
        <f>SUM(C11:Q11)</f>
        <v>200307.14457989816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25492.636538000002</v>
      </c>
      <c r="D13" s="1013">
        <f>industrie!C18</f>
        <v>0</v>
      </c>
      <c r="E13" s="1013">
        <f>industrie!D18</f>
        <v>16272.27835085984</v>
      </c>
      <c r="F13" s="1013">
        <f>industrie!E18</f>
        <v>4545.5412497186553</v>
      </c>
      <c r="G13" s="1013">
        <f>industrie!F18</f>
        <v>13216.659703552034</v>
      </c>
      <c r="H13" s="1013">
        <f>industrie!G18</f>
        <v>0</v>
      </c>
      <c r="I13" s="1013">
        <f>industrie!H18</f>
        <v>0</v>
      </c>
      <c r="J13" s="1013">
        <f>industrie!I18</f>
        <v>0</v>
      </c>
      <c r="K13" s="1013">
        <f>industrie!J18</f>
        <v>1.3114218111239246</v>
      </c>
      <c r="L13" s="1013">
        <f>industrie!K18</f>
        <v>0</v>
      </c>
      <c r="M13" s="1013">
        <f>industrie!L18</f>
        <v>0</v>
      </c>
      <c r="N13" s="1013">
        <f>industrie!M18</f>
        <v>0</v>
      </c>
      <c r="O13" s="1013">
        <f>industrie!N18</f>
        <v>9807.2391285897993</v>
      </c>
      <c r="P13" s="1013">
        <f>industrie!O18</f>
        <v>0</v>
      </c>
      <c r="Q13" s="1014">
        <f>industrie!P18</f>
        <v>0</v>
      </c>
      <c r="R13" s="700">
        <f>SUM(C13:Q13)</f>
        <v>69335.66639253145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109982.22749706519</v>
      </c>
      <c r="D16" s="732">
        <f t="shared" ref="D16:R16" ca="1" si="0">SUM(D9:D15)</f>
        <v>35.357142857142861</v>
      </c>
      <c r="E16" s="732">
        <f t="shared" ca="1" si="0"/>
        <v>146077.29342018624</v>
      </c>
      <c r="F16" s="732">
        <f t="shared" si="0"/>
        <v>10608.556911093881</v>
      </c>
      <c r="G16" s="732">
        <f t="shared" ca="1" si="0"/>
        <v>89015.018595900809</v>
      </c>
      <c r="H16" s="732">
        <f t="shared" si="0"/>
        <v>0</v>
      </c>
      <c r="I16" s="732">
        <f t="shared" si="0"/>
        <v>0</v>
      </c>
      <c r="J16" s="732">
        <f t="shared" si="0"/>
        <v>0</v>
      </c>
      <c r="K16" s="732">
        <f t="shared" si="0"/>
        <v>1.3668159896550041</v>
      </c>
      <c r="L16" s="732">
        <f t="shared" si="0"/>
        <v>0</v>
      </c>
      <c r="M16" s="732">
        <f t="shared" ca="1" si="0"/>
        <v>0</v>
      </c>
      <c r="N16" s="732">
        <f t="shared" si="0"/>
        <v>0</v>
      </c>
      <c r="O16" s="732">
        <f t="shared" ca="1" si="0"/>
        <v>23246.704451172242</v>
      </c>
      <c r="P16" s="732">
        <f t="shared" si="0"/>
        <v>342.37000000000006</v>
      </c>
      <c r="Q16" s="732">
        <f t="shared" si="0"/>
        <v>1391.8666666666666</v>
      </c>
      <c r="R16" s="732">
        <f t="shared" ca="1" si="0"/>
        <v>380700.76150093181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2935.0051161978326</v>
      </c>
      <c r="I19" s="1013">
        <f>transport!H54</f>
        <v>0</v>
      </c>
      <c r="J19" s="1013">
        <f>transport!I54</f>
        <v>0</v>
      </c>
      <c r="K19" s="1013">
        <f>transport!J54</f>
        <v>0</v>
      </c>
      <c r="L19" s="1013">
        <f>transport!K54</f>
        <v>0</v>
      </c>
      <c r="M19" s="1013">
        <f>transport!L54</f>
        <v>0</v>
      </c>
      <c r="N19" s="1013">
        <f>transport!M54</f>
        <v>166.69533379576234</v>
      </c>
      <c r="O19" s="1013">
        <f>transport!N54</f>
        <v>0</v>
      </c>
      <c r="P19" s="1013">
        <f>transport!O54</f>
        <v>0</v>
      </c>
      <c r="Q19" s="1014">
        <f>transport!P54</f>
        <v>0</v>
      </c>
      <c r="R19" s="700">
        <f>SUM(C19:Q19)</f>
        <v>3101.7004499935952</v>
      </c>
      <c r="S19" s="67"/>
    </row>
    <row r="20" spans="1:19" s="473" customFormat="1">
      <c r="A20" s="809" t="s">
        <v>307</v>
      </c>
      <c r="B20" s="814"/>
      <c r="C20" s="1013">
        <f>transport!B14</f>
        <v>67.897096270698526</v>
      </c>
      <c r="D20" s="1013">
        <f>transport!C14</f>
        <v>0</v>
      </c>
      <c r="E20" s="1013">
        <f>transport!D14</f>
        <v>222.49989724655691</v>
      </c>
      <c r="F20" s="1013">
        <f>transport!E14</f>
        <v>316.86087948742795</v>
      </c>
      <c r="G20" s="1013">
        <f>transport!F14</f>
        <v>0</v>
      </c>
      <c r="H20" s="1013">
        <f>transport!G14</f>
        <v>112546.40638237531</v>
      </c>
      <c r="I20" s="1013">
        <f>transport!H14</f>
        <v>25431.965346796791</v>
      </c>
      <c r="J20" s="1013">
        <f>transport!I14</f>
        <v>0</v>
      </c>
      <c r="K20" s="1013">
        <f>transport!J14</f>
        <v>0</v>
      </c>
      <c r="L20" s="1013">
        <f>transport!K14</f>
        <v>0</v>
      </c>
      <c r="M20" s="1013">
        <f>transport!L14</f>
        <v>0</v>
      </c>
      <c r="N20" s="1013">
        <f>transport!M14</f>
        <v>7325.8118889833931</v>
      </c>
      <c r="O20" s="1013">
        <f>transport!N14</f>
        <v>0</v>
      </c>
      <c r="P20" s="1013">
        <f>transport!O14</f>
        <v>0</v>
      </c>
      <c r="Q20" s="1014">
        <f>transport!P14</f>
        <v>0</v>
      </c>
      <c r="R20" s="700">
        <f>SUM(C20:Q20)</f>
        <v>145911.44149116016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67.897096270698526</v>
      </c>
      <c r="D22" s="812">
        <f t="shared" ref="D22:R22" si="1">SUM(D18:D21)</f>
        <v>0</v>
      </c>
      <c r="E22" s="812">
        <f t="shared" si="1"/>
        <v>222.49989724655691</v>
      </c>
      <c r="F22" s="812">
        <f t="shared" si="1"/>
        <v>316.86087948742795</v>
      </c>
      <c r="G22" s="812">
        <f t="shared" si="1"/>
        <v>0</v>
      </c>
      <c r="H22" s="812">
        <f t="shared" si="1"/>
        <v>115481.41149857314</v>
      </c>
      <c r="I22" s="812">
        <f t="shared" si="1"/>
        <v>25431.965346796791</v>
      </c>
      <c r="J22" s="812">
        <f t="shared" si="1"/>
        <v>0</v>
      </c>
      <c r="K22" s="812">
        <f t="shared" si="1"/>
        <v>0</v>
      </c>
      <c r="L22" s="812">
        <f t="shared" si="1"/>
        <v>0</v>
      </c>
      <c r="M22" s="812">
        <f t="shared" si="1"/>
        <v>0</v>
      </c>
      <c r="N22" s="812">
        <f t="shared" si="1"/>
        <v>7492.5072227791552</v>
      </c>
      <c r="O22" s="812">
        <f t="shared" si="1"/>
        <v>0</v>
      </c>
      <c r="P22" s="812">
        <f t="shared" si="1"/>
        <v>0</v>
      </c>
      <c r="Q22" s="812">
        <f t="shared" si="1"/>
        <v>0</v>
      </c>
      <c r="R22" s="812">
        <f t="shared" si="1"/>
        <v>149013.14194115376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1619.6196</v>
      </c>
      <c r="D24" s="1013">
        <f>+landbouw!C8</f>
        <v>20250</v>
      </c>
      <c r="E24" s="1013">
        <f>+landbouw!D8</f>
        <v>0</v>
      </c>
      <c r="F24" s="1013">
        <f>+landbouw!E8</f>
        <v>47.605566933235771</v>
      </c>
      <c r="G24" s="1013">
        <f>+landbouw!F8</f>
        <v>6747.2477339505185</v>
      </c>
      <c r="H24" s="1013">
        <f>+landbouw!G8</f>
        <v>0</v>
      </c>
      <c r="I24" s="1013">
        <f>+landbouw!H8</f>
        <v>0</v>
      </c>
      <c r="J24" s="1013">
        <f>+landbouw!I8</f>
        <v>0</v>
      </c>
      <c r="K24" s="1013">
        <f>+landbouw!J8</f>
        <v>234.64809831094746</v>
      </c>
      <c r="L24" s="1013">
        <f>+landbouw!K8</f>
        <v>0</v>
      </c>
      <c r="M24" s="1013">
        <f>+landbouw!L8</f>
        <v>0</v>
      </c>
      <c r="N24" s="1013">
        <f>+landbouw!M8</f>
        <v>0</v>
      </c>
      <c r="O24" s="1013">
        <f>+landbouw!N8</f>
        <v>0</v>
      </c>
      <c r="P24" s="1013">
        <f>+landbouw!O8</f>
        <v>0</v>
      </c>
      <c r="Q24" s="1014">
        <f>+landbouw!P8</f>
        <v>0</v>
      </c>
      <c r="R24" s="700">
        <f>SUM(C24:Q24)</f>
        <v>28899.1209991947</v>
      </c>
      <c r="S24" s="67"/>
    </row>
    <row r="25" spans="1:19" s="473" customFormat="1" ht="15" thickBot="1">
      <c r="A25" s="831" t="s">
        <v>836</v>
      </c>
      <c r="B25" s="1016"/>
      <c r="C25" s="1017">
        <f>IF(Onbekend_ele_kWh="---",0,Onbekend_ele_kWh)/1000+IF(REST_rest_ele_kWh="---",0,REST_rest_ele_kWh)/1000</f>
        <v>1349.929521</v>
      </c>
      <c r="D25" s="1017"/>
      <c r="E25" s="1017">
        <f>IF(onbekend_gas_kWh="---",0,onbekend_gas_kWh)/1000+IF(REST_rest_gas_kWh="---",0,REST_rest_gas_kWh)/1000</f>
        <v>3039.2847078467998</v>
      </c>
      <c r="F25" s="1017"/>
      <c r="G25" s="1017"/>
      <c r="H25" s="1017"/>
      <c r="I25" s="1017"/>
      <c r="J25" s="1017"/>
      <c r="K25" s="1017"/>
      <c r="L25" s="1017"/>
      <c r="M25" s="1017"/>
      <c r="N25" s="1017"/>
      <c r="O25" s="1017"/>
      <c r="P25" s="1017"/>
      <c r="Q25" s="1018"/>
      <c r="R25" s="700">
        <f>SUM(C25:Q25)</f>
        <v>4389.2142288468003</v>
      </c>
      <c r="S25" s="67"/>
    </row>
    <row r="26" spans="1:19" s="473" customFormat="1" ht="15.75" thickBot="1">
      <c r="A26" s="705" t="s">
        <v>837</v>
      </c>
      <c r="B26" s="817"/>
      <c r="C26" s="812">
        <f>SUM(C24:C25)</f>
        <v>2969.549121</v>
      </c>
      <c r="D26" s="812">
        <f t="shared" ref="D26:R26" si="2">SUM(D24:D25)</f>
        <v>20250</v>
      </c>
      <c r="E26" s="812">
        <f t="shared" si="2"/>
        <v>3039.2847078467998</v>
      </c>
      <c r="F26" s="812">
        <f t="shared" si="2"/>
        <v>47.605566933235771</v>
      </c>
      <c r="G26" s="812">
        <f t="shared" si="2"/>
        <v>6747.2477339505185</v>
      </c>
      <c r="H26" s="812">
        <f t="shared" si="2"/>
        <v>0</v>
      </c>
      <c r="I26" s="812">
        <f t="shared" si="2"/>
        <v>0</v>
      </c>
      <c r="J26" s="812">
        <f t="shared" si="2"/>
        <v>0</v>
      </c>
      <c r="K26" s="812">
        <f t="shared" si="2"/>
        <v>234.64809831094746</v>
      </c>
      <c r="L26" s="812">
        <f t="shared" si="2"/>
        <v>0</v>
      </c>
      <c r="M26" s="812">
        <f t="shared" si="2"/>
        <v>0</v>
      </c>
      <c r="N26" s="812">
        <f t="shared" si="2"/>
        <v>0</v>
      </c>
      <c r="O26" s="812">
        <f t="shared" si="2"/>
        <v>0</v>
      </c>
      <c r="P26" s="812">
        <f t="shared" si="2"/>
        <v>0</v>
      </c>
      <c r="Q26" s="812">
        <f t="shared" si="2"/>
        <v>0</v>
      </c>
      <c r="R26" s="812">
        <f t="shared" si="2"/>
        <v>33288.335228041498</v>
      </c>
      <c r="S26" s="67"/>
    </row>
    <row r="27" spans="1:19" s="473" customFormat="1" ht="17.25" thickTop="1" thickBot="1">
      <c r="A27" s="706" t="s">
        <v>116</v>
      </c>
      <c r="B27" s="805"/>
      <c r="C27" s="707">
        <f ca="1">C22+C16+C26</f>
        <v>113019.67371433589</v>
      </c>
      <c r="D27" s="707">
        <f t="shared" ref="D27:R27" ca="1" si="3">D22+D16+D26</f>
        <v>20285.357142857141</v>
      </c>
      <c r="E27" s="707">
        <f t="shared" ca="1" si="3"/>
        <v>149339.0780252796</v>
      </c>
      <c r="F27" s="707">
        <f t="shared" si="3"/>
        <v>10973.023357514545</v>
      </c>
      <c r="G27" s="707">
        <f t="shared" ca="1" si="3"/>
        <v>95762.266329851322</v>
      </c>
      <c r="H27" s="707">
        <f t="shared" si="3"/>
        <v>115481.41149857314</v>
      </c>
      <c r="I27" s="707">
        <f t="shared" si="3"/>
        <v>25431.965346796791</v>
      </c>
      <c r="J27" s="707">
        <f t="shared" si="3"/>
        <v>0</v>
      </c>
      <c r="K27" s="707">
        <f t="shared" si="3"/>
        <v>236.01491430060247</v>
      </c>
      <c r="L27" s="707">
        <f t="shared" si="3"/>
        <v>0</v>
      </c>
      <c r="M27" s="707">
        <f t="shared" ca="1" si="3"/>
        <v>0</v>
      </c>
      <c r="N27" s="707">
        <f t="shared" si="3"/>
        <v>7492.5072227791552</v>
      </c>
      <c r="O27" s="707">
        <f t="shared" ca="1" si="3"/>
        <v>23246.704451172242</v>
      </c>
      <c r="P27" s="707">
        <f t="shared" si="3"/>
        <v>342.37000000000006</v>
      </c>
      <c r="Q27" s="707">
        <f t="shared" si="3"/>
        <v>1391.8666666666666</v>
      </c>
      <c r="R27" s="707">
        <f t="shared" ca="1" si="3"/>
        <v>563002.23867012712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7668.3788283164304</v>
      </c>
      <c r="D40" s="1013">
        <f ca="1">tertiair!C20</f>
        <v>8.4025210084033617</v>
      </c>
      <c r="E40" s="1013">
        <f ca="1">tertiair!D20</f>
        <v>10952.490955783625</v>
      </c>
      <c r="F40" s="1013">
        <f>tertiair!E20</f>
        <v>163.44311298373947</v>
      </c>
      <c r="G40" s="1013">
        <f ca="1">tertiair!F20</f>
        <v>2035.6466751206535</v>
      </c>
      <c r="H40" s="1013">
        <f>tertiair!G20</f>
        <v>0</v>
      </c>
      <c r="I40" s="1013">
        <f>tertiair!H20</f>
        <v>0</v>
      </c>
      <c r="J40" s="1013">
        <f>tertiair!I20</f>
        <v>0</v>
      </c>
      <c r="K40" s="1013">
        <f>tertiair!J20</f>
        <v>1.960953920000208E-2</v>
      </c>
      <c r="L40" s="1013">
        <f>tertiair!K20</f>
        <v>0</v>
      </c>
      <c r="M40" s="1013">
        <f ca="1">tertiair!L20</f>
        <v>0</v>
      </c>
      <c r="N40" s="1013">
        <f>tertiair!M20</f>
        <v>0</v>
      </c>
      <c r="O40" s="1013">
        <f ca="1">tertiair!N20</f>
        <v>0</v>
      </c>
      <c r="P40" s="1013">
        <f>tertiair!O20</f>
        <v>0</v>
      </c>
      <c r="Q40" s="774">
        <f>tertiair!P20</f>
        <v>0</v>
      </c>
      <c r="R40" s="850">
        <f t="shared" ca="1" si="4"/>
        <v>20828.381702752053</v>
      </c>
    </row>
    <row r="41" spans="1:18">
      <c r="A41" s="822" t="s">
        <v>225</v>
      </c>
      <c r="B41" s="829"/>
      <c r="C41" s="1013">
        <f ca="1">huishoudens!B12</f>
        <v>6374.8805330566065</v>
      </c>
      <c r="D41" s="1013">
        <f ca="1">huishoudens!C12</f>
        <v>0</v>
      </c>
      <c r="E41" s="1013">
        <f>huishoudens!D12</f>
        <v>15268.122088220305</v>
      </c>
      <c r="F41" s="1013">
        <f>huishoudens!E12</f>
        <v>1212.8614421484367</v>
      </c>
      <c r="G41" s="1013">
        <f>huishoudens!F12</f>
        <v>18202.51514913647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41058.37921256182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4237.2048751164866</v>
      </c>
      <c r="D43" s="1013">
        <f ca="1">industrie!C22</f>
        <v>0</v>
      </c>
      <c r="E43" s="1013">
        <f>industrie!D22</f>
        <v>3287.000226873688</v>
      </c>
      <c r="F43" s="1013">
        <f>industrie!E22</f>
        <v>1031.8378636861348</v>
      </c>
      <c r="G43" s="1013">
        <f>industrie!F22</f>
        <v>3528.8481408483931</v>
      </c>
      <c r="H43" s="1013">
        <f>industrie!G22</f>
        <v>0</v>
      </c>
      <c r="I43" s="1013">
        <f>industrie!H22</f>
        <v>0</v>
      </c>
      <c r="J43" s="1013">
        <f>industrie!I22</f>
        <v>0</v>
      </c>
      <c r="K43" s="1013">
        <f>industrie!J22</f>
        <v>0.46424332113786931</v>
      </c>
      <c r="L43" s="1013">
        <f>industrie!K22</f>
        <v>0</v>
      </c>
      <c r="M43" s="1013">
        <f>industrie!L22</f>
        <v>0</v>
      </c>
      <c r="N43" s="1013">
        <f>industrie!M22</f>
        <v>0</v>
      </c>
      <c r="O43" s="1013">
        <f>industrie!N22</f>
        <v>0</v>
      </c>
      <c r="P43" s="1013">
        <f>industrie!O22</f>
        <v>0</v>
      </c>
      <c r="Q43" s="774">
        <f>industrie!P22</f>
        <v>0</v>
      </c>
      <c r="R43" s="849">
        <f t="shared" ca="1" si="4"/>
        <v>12085.35534984584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18280.464236489523</v>
      </c>
      <c r="D46" s="732">
        <f t="shared" ref="D46:Q46" ca="1" si="5">SUM(D39:D45)</f>
        <v>8.4025210084033617</v>
      </c>
      <c r="E46" s="732">
        <f t="shared" ca="1" si="5"/>
        <v>29507.61327087762</v>
      </c>
      <c r="F46" s="732">
        <f t="shared" si="5"/>
        <v>2408.1424188183109</v>
      </c>
      <c r="G46" s="732">
        <f t="shared" ca="1" si="5"/>
        <v>23767.009965105517</v>
      </c>
      <c r="H46" s="732">
        <f t="shared" si="5"/>
        <v>0</v>
      </c>
      <c r="I46" s="732">
        <f t="shared" si="5"/>
        <v>0</v>
      </c>
      <c r="J46" s="732">
        <f t="shared" si="5"/>
        <v>0</v>
      </c>
      <c r="K46" s="732">
        <f t="shared" si="5"/>
        <v>0.48385286033787139</v>
      </c>
      <c r="L46" s="732">
        <f t="shared" si="5"/>
        <v>0</v>
      </c>
      <c r="M46" s="732">
        <f t="shared" ca="1" si="5"/>
        <v>0</v>
      </c>
      <c r="N46" s="732">
        <f t="shared" si="5"/>
        <v>0</v>
      </c>
      <c r="O46" s="732">
        <f t="shared" ca="1" si="5"/>
        <v>0</v>
      </c>
      <c r="P46" s="732">
        <f t="shared" si="5"/>
        <v>0</v>
      </c>
      <c r="Q46" s="732">
        <f t="shared" si="5"/>
        <v>0</v>
      </c>
      <c r="R46" s="732">
        <f ca="1">SUM(R39:R45)</f>
        <v>73972.116265159711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783.64636602482142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783.64636602482142</v>
      </c>
    </row>
    <row r="50" spans="1:18">
      <c r="A50" s="825" t="s">
        <v>307</v>
      </c>
      <c r="B50" s="835"/>
      <c r="C50" s="703">
        <f ca="1">transport!B18</f>
        <v>11.285372813267591</v>
      </c>
      <c r="D50" s="703">
        <f>transport!C18</f>
        <v>0</v>
      </c>
      <c r="E50" s="703">
        <f>transport!D18</f>
        <v>44.944979243804497</v>
      </c>
      <c r="F50" s="703">
        <f>transport!E18</f>
        <v>71.927419643646147</v>
      </c>
      <c r="G50" s="703">
        <f>transport!F18</f>
        <v>0</v>
      </c>
      <c r="H50" s="703">
        <f>transport!G18</f>
        <v>30049.890504094208</v>
      </c>
      <c r="I50" s="703">
        <f>transport!H18</f>
        <v>6332.5593713524013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36510.607647147328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11.285372813267591</v>
      </c>
      <c r="D52" s="732">
        <f t="shared" ref="D52:Q52" ca="1" si="6">SUM(D48:D51)</f>
        <v>0</v>
      </c>
      <c r="E52" s="732">
        <f t="shared" si="6"/>
        <v>44.944979243804497</v>
      </c>
      <c r="F52" s="732">
        <f t="shared" si="6"/>
        <v>71.927419643646147</v>
      </c>
      <c r="G52" s="732">
        <f t="shared" si="6"/>
        <v>0</v>
      </c>
      <c r="H52" s="732">
        <f t="shared" si="6"/>
        <v>30833.536870119031</v>
      </c>
      <c r="I52" s="732">
        <f t="shared" si="6"/>
        <v>6332.5593713524013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37294.254013172147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269.20165965276095</v>
      </c>
      <c r="D54" s="703">
        <f ca="1">+landbouw!C12</f>
        <v>4812.3529411764703</v>
      </c>
      <c r="E54" s="703">
        <f>+landbouw!D12</f>
        <v>0</v>
      </c>
      <c r="F54" s="703">
        <f>+landbouw!E12</f>
        <v>10.80646369384452</v>
      </c>
      <c r="G54" s="703">
        <f>+landbouw!F12</f>
        <v>1801.5151449647885</v>
      </c>
      <c r="H54" s="703">
        <f>+landbouw!G12</f>
        <v>0</v>
      </c>
      <c r="I54" s="703">
        <f>+landbouw!H12</f>
        <v>0</v>
      </c>
      <c r="J54" s="703">
        <f>+landbouw!I12</f>
        <v>0</v>
      </c>
      <c r="K54" s="703">
        <f>+landbouw!J12</f>
        <v>83.065426802075393</v>
      </c>
      <c r="L54" s="703">
        <f>+landbouw!K12</f>
        <v>0</v>
      </c>
      <c r="M54" s="703">
        <f>+landbouw!L12</f>
        <v>0</v>
      </c>
      <c r="N54" s="703">
        <f>+landbouw!M12</f>
        <v>0</v>
      </c>
      <c r="O54" s="703">
        <f>+landbouw!N12</f>
        <v>0</v>
      </c>
      <c r="P54" s="703">
        <f>+landbouw!O12</f>
        <v>0</v>
      </c>
      <c r="Q54" s="704">
        <f>+landbouw!P12</f>
        <v>0</v>
      </c>
      <c r="R54" s="731">
        <f ca="1">SUM(C54:Q54)</f>
        <v>6976.9416362899392</v>
      </c>
    </row>
    <row r="55" spans="1:18" ht="15" thickBot="1">
      <c r="A55" s="825" t="s">
        <v>836</v>
      </c>
      <c r="B55" s="835"/>
      <c r="C55" s="703">
        <f ca="1">C25*'EF ele_warmte'!B12</f>
        <v>224.37569134595347</v>
      </c>
      <c r="D55" s="703"/>
      <c r="E55" s="703">
        <f>E25*EF_CO2_aardgas</f>
        <v>613.93551098505361</v>
      </c>
      <c r="F55" s="703"/>
      <c r="G55" s="703"/>
      <c r="H55" s="703"/>
      <c r="I55" s="703"/>
      <c r="J55" s="703"/>
      <c r="K55" s="703"/>
      <c r="L55" s="703"/>
      <c r="M55" s="703"/>
      <c r="N55" s="703"/>
      <c r="O55" s="703"/>
      <c r="P55" s="703"/>
      <c r="Q55" s="704"/>
      <c r="R55" s="731">
        <f ca="1">SUM(C55:Q55)</f>
        <v>838.31120233100705</v>
      </c>
    </row>
    <row r="56" spans="1:18" ht="15.75" thickBot="1">
      <c r="A56" s="823" t="s">
        <v>837</v>
      </c>
      <c r="B56" s="836"/>
      <c r="C56" s="732">
        <f ca="1">SUM(C54:C55)</f>
        <v>493.57735099871445</v>
      </c>
      <c r="D56" s="732">
        <f t="shared" ref="D56:Q56" ca="1" si="7">SUM(D54:D55)</f>
        <v>4812.3529411764703</v>
      </c>
      <c r="E56" s="732">
        <f t="shared" si="7"/>
        <v>613.93551098505361</v>
      </c>
      <c r="F56" s="732">
        <f t="shared" si="7"/>
        <v>10.80646369384452</v>
      </c>
      <c r="G56" s="732">
        <f t="shared" si="7"/>
        <v>1801.5151449647885</v>
      </c>
      <c r="H56" s="732">
        <f t="shared" si="7"/>
        <v>0</v>
      </c>
      <c r="I56" s="732">
        <f t="shared" si="7"/>
        <v>0</v>
      </c>
      <c r="J56" s="732">
        <f t="shared" si="7"/>
        <v>0</v>
      </c>
      <c r="K56" s="732">
        <f t="shared" si="7"/>
        <v>83.065426802075393</v>
      </c>
      <c r="L56" s="732">
        <f t="shared" si="7"/>
        <v>0</v>
      </c>
      <c r="M56" s="732">
        <f t="shared" si="7"/>
        <v>0</v>
      </c>
      <c r="N56" s="732">
        <f t="shared" si="7"/>
        <v>0</v>
      </c>
      <c r="O56" s="732">
        <f t="shared" si="7"/>
        <v>0</v>
      </c>
      <c r="P56" s="732">
        <f t="shared" si="7"/>
        <v>0</v>
      </c>
      <c r="Q56" s="733">
        <f t="shared" si="7"/>
        <v>0</v>
      </c>
      <c r="R56" s="734">
        <f ca="1">SUM(R54:R55)</f>
        <v>7815.252838620946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18785.326960301507</v>
      </c>
      <c r="D61" s="740">
        <f t="shared" ref="D61:Q61" ca="1" si="8">D46+D52+D56</f>
        <v>4820.755462184874</v>
      </c>
      <c r="E61" s="740">
        <f t="shared" ca="1" si="8"/>
        <v>30166.493761106482</v>
      </c>
      <c r="F61" s="740">
        <f t="shared" si="8"/>
        <v>2490.8763021558016</v>
      </c>
      <c r="G61" s="740">
        <f t="shared" ca="1" si="8"/>
        <v>25568.525110070306</v>
      </c>
      <c r="H61" s="740">
        <f t="shared" si="8"/>
        <v>30833.536870119031</v>
      </c>
      <c r="I61" s="740">
        <f t="shared" si="8"/>
        <v>6332.5593713524013</v>
      </c>
      <c r="J61" s="740">
        <f t="shared" si="8"/>
        <v>0</v>
      </c>
      <c r="K61" s="740">
        <f t="shared" si="8"/>
        <v>83.549279662413269</v>
      </c>
      <c r="L61" s="740">
        <f t="shared" si="8"/>
        <v>0</v>
      </c>
      <c r="M61" s="740">
        <f t="shared" ca="1" si="8"/>
        <v>0</v>
      </c>
      <c r="N61" s="740">
        <f t="shared" si="8"/>
        <v>0</v>
      </c>
      <c r="O61" s="740">
        <f t="shared" ca="1" si="8"/>
        <v>0</v>
      </c>
      <c r="P61" s="740">
        <f t="shared" si="8"/>
        <v>0</v>
      </c>
      <c r="Q61" s="740">
        <f t="shared" si="8"/>
        <v>0</v>
      </c>
      <c r="R61" s="740">
        <f ca="1">R46+R52+R56</f>
        <v>119081.6231169528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0.16621289323293009</v>
      </c>
      <c r="D63" s="781">
        <f t="shared" ca="1" si="9"/>
        <v>0.23764705882352943</v>
      </c>
      <c r="E63" s="1024">
        <f t="shared" ca="1" si="9"/>
        <v>0.20200000000000001</v>
      </c>
      <c r="F63" s="781">
        <f t="shared" si="9"/>
        <v>0.22699999999999998</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15846.522752342617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13241.282696056202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14199.75</v>
      </c>
      <c r="D76" s="1034">
        <f>'lokale energieproductie'!C8</f>
        <v>16705.588235294115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3374.5288235294115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29087.805448398816</v>
      </c>
      <c r="C78" s="755">
        <f>SUM(C72:C77)</f>
        <v>14199.75</v>
      </c>
      <c r="D78" s="756">
        <f t="shared" ref="D78:H78" si="10">SUM(D76:D77)</f>
        <v>16705.588235294115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3374.5288235294115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20285.357142857141</v>
      </c>
      <c r="D87" s="777">
        <f>'lokale energieproductie'!C17</f>
        <v>23865.126050420164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4820.7554621848731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20285.357142857141</v>
      </c>
      <c r="D90" s="755">
        <f t="shared" ref="D90:H90" si="12">SUM(D87:D89)</f>
        <v>23865.126050420164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4820.7554621848731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15846.522752342617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13241.282696056202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14199.75</v>
      </c>
      <c r="C8" s="570">
        <f>B101</f>
        <v>16705.588235294115</v>
      </c>
      <c r="D8" s="1044"/>
      <c r="E8" s="1044">
        <f>E101</f>
        <v>0</v>
      </c>
      <c r="F8" s="1045"/>
      <c r="G8" s="571"/>
      <c r="H8" s="1044">
        <f>I101</f>
        <v>0</v>
      </c>
      <c r="I8" s="1044">
        <f>G101+F101</f>
        <v>0</v>
      </c>
      <c r="J8" s="1044">
        <f>H101+D101+C101</f>
        <v>0</v>
      </c>
      <c r="K8" s="1044"/>
      <c r="L8" s="1044"/>
      <c r="M8" s="1044"/>
      <c r="N8" s="572"/>
      <c r="O8" s="573">
        <f>C8*$C$12+D8*$D$12+E8*$E$12+F8*$F$12+G8*$G$12+H8*$H$12+I8*$I$12+J8*$J$12</f>
        <v>3374.5288235294115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43287.555448398816</v>
      </c>
      <c r="C10" s="583">
        <f t="shared" ref="C10:L10" si="0">SUM(C8:C9)</f>
        <v>16705.588235294115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3374.5288235294115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20285.357142857141</v>
      </c>
      <c r="C17" s="595">
        <f>B102</f>
        <v>23865.126050420164</v>
      </c>
      <c r="D17" s="596"/>
      <c r="E17" s="596">
        <f>E102</f>
        <v>0</v>
      </c>
      <c r="F17" s="1050"/>
      <c r="G17" s="597"/>
      <c r="H17" s="595">
        <f>I102</f>
        <v>0</v>
      </c>
      <c r="I17" s="596">
        <f>G102+F102</f>
        <v>0</v>
      </c>
      <c r="J17" s="596">
        <f>H102+D102+C102</f>
        <v>0</v>
      </c>
      <c r="K17" s="596"/>
      <c r="L17" s="596"/>
      <c r="M17" s="596"/>
      <c r="N17" s="1051"/>
      <c r="O17" s="598">
        <f>C17*$C$22+E17*$E$22+H17*$H$22+I17*$I$22+J17*$J$22+D17*$D$22+F17*$F$22+G17*$G$22+K17*$K$22+L17*$L$22</f>
        <v>4820.7554621848731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20285.357142857141</v>
      </c>
      <c r="C20" s="582">
        <f>SUM(C17:C19)</f>
        <v>23865.126050420164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4820.7554621848731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24020</v>
      </c>
      <c r="C28" s="796">
        <v>3290</v>
      </c>
      <c r="D28" s="653" t="s">
        <v>881</v>
      </c>
      <c r="E28" s="652" t="s">
        <v>882</v>
      </c>
      <c r="F28" s="652" t="s">
        <v>883</v>
      </c>
      <c r="G28" s="652" t="s">
        <v>884</v>
      </c>
      <c r="H28" s="652" t="s">
        <v>885</v>
      </c>
      <c r="I28" s="652" t="s">
        <v>886</v>
      </c>
      <c r="J28" s="795">
        <v>37839</v>
      </c>
      <c r="K28" s="795">
        <v>38687</v>
      </c>
      <c r="L28" s="652" t="s">
        <v>887</v>
      </c>
      <c r="M28" s="652">
        <v>5.5</v>
      </c>
      <c r="N28" s="652">
        <v>24.75</v>
      </c>
      <c r="O28" s="652">
        <v>35.357142857142861</v>
      </c>
      <c r="P28" s="652">
        <v>70.714285714285722</v>
      </c>
      <c r="Q28" s="652">
        <v>0</v>
      </c>
      <c r="R28" s="652">
        <v>0</v>
      </c>
      <c r="S28" s="652">
        <v>0</v>
      </c>
      <c r="T28" s="652">
        <v>0</v>
      </c>
      <c r="U28" s="652">
        <v>0</v>
      </c>
      <c r="V28" s="652">
        <v>0</v>
      </c>
      <c r="W28" s="652">
        <v>0</v>
      </c>
      <c r="X28" s="652">
        <v>1600</v>
      </c>
      <c r="Y28" s="652" t="s">
        <v>50</v>
      </c>
      <c r="Z28" s="654" t="s">
        <v>156</v>
      </c>
    </row>
    <row r="29" spans="1:26" s="606" customFormat="1" ht="25.5">
      <c r="A29" s="605"/>
      <c r="B29" s="796">
        <v>24020</v>
      </c>
      <c r="C29" s="796">
        <v>3294</v>
      </c>
      <c r="D29" s="653" t="s">
        <v>888</v>
      </c>
      <c r="E29" s="652" t="s">
        <v>889</v>
      </c>
      <c r="F29" s="652" t="s">
        <v>890</v>
      </c>
      <c r="G29" s="652" t="s">
        <v>884</v>
      </c>
      <c r="H29" s="652" t="s">
        <v>885</v>
      </c>
      <c r="I29" s="652" t="s">
        <v>889</v>
      </c>
      <c r="J29" s="795">
        <v>40165</v>
      </c>
      <c r="K29" s="795">
        <v>39211</v>
      </c>
      <c r="L29" s="652" t="s">
        <v>887</v>
      </c>
      <c r="M29" s="652">
        <v>3150</v>
      </c>
      <c r="N29" s="652">
        <v>14175</v>
      </c>
      <c r="O29" s="652">
        <v>20250</v>
      </c>
      <c r="P29" s="652">
        <v>40500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3155.5</v>
      </c>
      <c r="N58" s="610">
        <f>SUM(N28:N57)</f>
        <v>14199.75</v>
      </c>
      <c r="O58" s="610">
        <f t="shared" ref="O58:W58" si="2">SUM(O28:O57)</f>
        <v>20285.357142857141</v>
      </c>
      <c r="P58" s="610">
        <f t="shared" si="2"/>
        <v>40570.714285714283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3150</v>
      </c>
      <c r="N61" s="615">
        <f t="shared" si="4"/>
        <v>14175</v>
      </c>
      <c r="O61" s="615">
        <f t="shared" si="4"/>
        <v>20250</v>
      </c>
      <c r="P61" s="615">
        <f t="shared" si="4"/>
        <v>40500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16705.588235294115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23865.126050420164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38353.706557065183</v>
      </c>
      <c r="C4" s="477">
        <f>huishoudens!C8</f>
        <v>0</v>
      </c>
      <c r="D4" s="477">
        <f>huishoudens!D8</f>
        <v>75584.762812971807</v>
      </c>
      <c r="E4" s="477">
        <f>huishoudens!E8</f>
        <v>5343.0019477904698</v>
      </c>
      <c r="F4" s="477">
        <f>huishoudens!F8</f>
        <v>68174.214041709623</v>
      </c>
      <c r="G4" s="477">
        <f>huishoudens!G8</f>
        <v>0</v>
      </c>
      <c r="H4" s="477">
        <f>huishoudens!H8</f>
        <v>0</v>
      </c>
      <c r="I4" s="477">
        <f>huishoudens!I8</f>
        <v>0</v>
      </c>
      <c r="J4" s="477">
        <f>huishoudens!J8</f>
        <v>0</v>
      </c>
      <c r="K4" s="477">
        <f>huishoudens!K8</f>
        <v>0</v>
      </c>
      <c r="L4" s="477">
        <f>huishoudens!L8</f>
        <v>0</v>
      </c>
      <c r="M4" s="477">
        <f>huishoudens!M8</f>
        <v>0</v>
      </c>
      <c r="N4" s="477">
        <f>huishoudens!N8</f>
        <v>11139.415887027741</v>
      </c>
      <c r="O4" s="477">
        <f>huishoudens!O8</f>
        <v>339.2433333333334</v>
      </c>
      <c r="P4" s="478">
        <f>huishoudens!P8</f>
        <v>1372.8</v>
      </c>
      <c r="Q4" s="479">
        <f>SUM(B4:P4)</f>
        <v>200307.14457989816</v>
      </c>
    </row>
    <row r="5" spans="1:17">
      <c r="A5" s="476" t="s">
        <v>156</v>
      </c>
      <c r="B5" s="477">
        <f ca="1">tertiair!B16</f>
        <v>44114.746401999997</v>
      </c>
      <c r="C5" s="477">
        <f ca="1">tertiair!C16</f>
        <v>35.357142857142861</v>
      </c>
      <c r="D5" s="477">
        <f ca="1">tertiair!D16</f>
        <v>54220.252256354579</v>
      </c>
      <c r="E5" s="477">
        <f>tertiair!E16</f>
        <v>720.01371358475535</v>
      </c>
      <c r="F5" s="477">
        <f ca="1">tertiair!F16</f>
        <v>7624.1448506391516</v>
      </c>
      <c r="G5" s="477">
        <f>tertiair!G16</f>
        <v>0</v>
      </c>
      <c r="H5" s="477">
        <f>tertiair!H16</f>
        <v>0</v>
      </c>
      <c r="I5" s="477">
        <f>tertiair!I16</f>
        <v>0</v>
      </c>
      <c r="J5" s="477">
        <f>tertiair!J16</f>
        <v>5.5394178531079329E-2</v>
      </c>
      <c r="K5" s="477">
        <f>tertiair!K16</f>
        <v>0</v>
      </c>
      <c r="L5" s="477">
        <f ca="1">tertiair!L16</f>
        <v>0</v>
      </c>
      <c r="M5" s="477">
        <f>tertiair!M16</f>
        <v>0</v>
      </c>
      <c r="N5" s="477">
        <f ca="1">tertiair!N16</f>
        <v>2300.0494355546998</v>
      </c>
      <c r="O5" s="477">
        <f>tertiair!O16</f>
        <v>3.1266666666666669</v>
      </c>
      <c r="P5" s="478">
        <f>tertiair!P16</f>
        <v>19.066666666666666</v>
      </c>
      <c r="Q5" s="476">
        <f t="shared" ref="Q5:Q14" ca="1" si="0">SUM(B5:P5)</f>
        <v>109036.8125285022</v>
      </c>
    </row>
    <row r="6" spans="1:17">
      <c r="A6" s="476" t="s">
        <v>194</v>
      </c>
      <c r="B6" s="477">
        <f>'openbare verlichting'!B8</f>
        <v>2021.1379999999999</v>
      </c>
      <c r="C6" s="477"/>
      <c r="D6" s="477"/>
      <c r="E6" s="477"/>
      <c r="F6" s="477"/>
      <c r="G6" s="477"/>
      <c r="H6" s="477"/>
      <c r="I6" s="477"/>
      <c r="J6" s="477"/>
      <c r="K6" s="477"/>
      <c r="L6" s="477"/>
      <c r="M6" s="477"/>
      <c r="N6" s="477"/>
      <c r="O6" s="477"/>
      <c r="P6" s="478"/>
      <c r="Q6" s="476">
        <f t="shared" si="0"/>
        <v>2021.1379999999999</v>
      </c>
    </row>
    <row r="7" spans="1:17">
      <c r="A7" s="476" t="s">
        <v>112</v>
      </c>
      <c r="B7" s="477">
        <f>landbouw!B8</f>
        <v>1619.6196</v>
      </c>
      <c r="C7" s="477">
        <f>landbouw!C8</f>
        <v>20250</v>
      </c>
      <c r="D7" s="477">
        <f>landbouw!D8</f>
        <v>0</v>
      </c>
      <c r="E7" s="477">
        <f>landbouw!E8</f>
        <v>47.605566933235771</v>
      </c>
      <c r="F7" s="477">
        <f>landbouw!F8</f>
        <v>6747.2477339505185</v>
      </c>
      <c r="G7" s="477">
        <f>landbouw!G8</f>
        <v>0</v>
      </c>
      <c r="H7" s="477">
        <f>landbouw!H8</f>
        <v>0</v>
      </c>
      <c r="I7" s="477">
        <f>landbouw!I8</f>
        <v>0</v>
      </c>
      <c r="J7" s="477">
        <f>landbouw!J8</f>
        <v>234.64809831094746</v>
      </c>
      <c r="K7" s="477">
        <f>landbouw!K8</f>
        <v>0</v>
      </c>
      <c r="L7" s="477">
        <f>landbouw!L8</f>
        <v>0</v>
      </c>
      <c r="M7" s="477">
        <f>landbouw!M8</f>
        <v>0</v>
      </c>
      <c r="N7" s="477">
        <f>landbouw!N8</f>
        <v>0</v>
      </c>
      <c r="O7" s="477">
        <f>landbouw!O8</f>
        <v>0</v>
      </c>
      <c r="P7" s="478">
        <f>landbouw!P8</f>
        <v>0</v>
      </c>
      <c r="Q7" s="476">
        <f t="shared" si="0"/>
        <v>28899.1209991947</v>
      </c>
    </row>
    <row r="8" spans="1:17">
      <c r="A8" s="476" t="s">
        <v>635</v>
      </c>
      <c r="B8" s="477">
        <f>industrie!B18</f>
        <v>25492.636538000002</v>
      </c>
      <c r="C8" s="477">
        <f>industrie!C18</f>
        <v>0</v>
      </c>
      <c r="D8" s="477">
        <f>industrie!D18</f>
        <v>16272.27835085984</v>
      </c>
      <c r="E8" s="477">
        <f>industrie!E18</f>
        <v>4545.5412497186553</v>
      </c>
      <c r="F8" s="477">
        <f>industrie!F18</f>
        <v>13216.659703552034</v>
      </c>
      <c r="G8" s="477">
        <f>industrie!G18</f>
        <v>0</v>
      </c>
      <c r="H8" s="477">
        <f>industrie!H18</f>
        <v>0</v>
      </c>
      <c r="I8" s="477">
        <f>industrie!I18</f>
        <v>0</v>
      </c>
      <c r="J8" s="477">
        <f>industrie!J18</f>
        <v>1.3114218111239246</v>
      </c>
      <c r="K8" s="477">
        <f>industrie!K18</f>
        <v>0</v>
      </c>
      <c r="L8" s="477">
        <f>industrie!L18</f>
        <v>0</v>
      </c>
      <c r="M8" s="477">
        <f>industrie!M18</f>
        <v>0</v>
      </c>
      <c r="N8" s="477">
        <f>industrie!N18</f>
        <v>9807.2391285897993</v>
      </c>
      <c r="O8" s="477">
        <f>industrie!O18</f>
        <v>0</v>
      </c>
      <c r="P8" s="478">
        <f>industrie!P18</f>
        <v>0</v>
      </c>
      <c r="Q8" s="476">
        <f t="shared" si="0"/>
        <v>69335.66639253145</v>
      </c>
    </row>
    <row r="9" spans="1:17" s="482" customFormat="1">
      <c r="A9" s="480" t="s">
        <v>561</v>
      </c>
      <c r="B9" s="481">
        <f>transport!B14</f>
        <v>67.897096270698526</v>
      </c>
      <c r="C9" s="481">
        <f>transport!C14</f>
        <v>0</v>
      </c>
      <c r="D9" s="481">
        <f>transport!D14</f>
        <v>222.49989724655691</v>
      </c>
      <c r="E9" s="481">
        <f>transport!E14</f>
        <v>316.86087948742795</v>
      </c>
      <c r="F9" s="481">
        <f>transport!F14</f>
        <v>0</v>
      </c>
      <c r="G9" s="481">
        <f>transport!G14</f>
        <v>112546.40638237531</v>
      </c>
      <c r="H9" s="481">
        <f>transport!H14</f>
        <v>25431.965346796791</v>
      </c>
      <c r="I9" s="481">
        <f>transport!I14</f>
        <v>0</v>
      </c>
      <c r="J9" s="481">
        <f>transport!J14</f>
        <v>0</v>
      </c>
      <c r="K9" s="481">
        <f>transport!K14</f>
        <v>0</v>
      </c>
      <c r="L9" s="481">
        <f>transport!L14</f>
        <v>0</v>
      </c>
      <c r="M9" s="481">
        <f>transport!M14</f>
        <v>7325.8118889833931</v>
      </c>
      <c r="N9" s="481">
        <f>transport!N14</f>
        <v>0</v>
      </c>
      <c r="O9" s="481">
        <f>transport!O14</f>
        <v>0</v>
      </c>
      <c r="P9" s="481">
        <f>transport!P14</f>
        <v>0</v>
      </c>
      <c r="Q9" s="480">
        <f>SUM(B9:P9)</f>
        <v>145911.44149116016</v>
      </c>
    </row>
    <row r="10" spans="1:17">
      <c r="A10" s="476" t="s">
        <v>551</v>
      </c>
      <c r="B10" s="477">
        <f>transport!B54</f>
        <v>0</v>
      </c>
      <c r="C10" s="477">
        <f>transport!C54</f>
        <v>0</v>
      </c>
      <c r="D10" s="477">
        <f>transport!D54</f>
        <v>0</v>
      </c>
      <c r="E10" s="477">
        <f>transport!E54</f>
        <v>0</v>
      </c>
      <c r="F10" s="477">
        <f>transport!F54</f>
        <v>0</v>
      </c>
      <c r="G10" s="477">
        <f>transport!G54</f>
        <v>2935.0051161978326</v>
      </c>
      <c r="H10" s="477">
        <f>transport!H54</f>
        <v>0</v>
      </c>
      <c r="I10" s="477">
        <f>transport!I54</f>
        <v>0</v>
      </c>
      <c r="J10" s="477">
        <f>transport!J54</f>
        <v>0</v>
      </c>
      <c r="K10" s="477">
        <f>transport!K54</f>
        <v>0</v>
      </c>
      <c r="L10" s="477">
        <f>transport!L54</f>
        <v>0</v>
      </c>
      <c r="M10" s="477">
        <f>transport!M54</f>
        <v>166.69533379576234</v>
      </c>
      <c r="N10" s="477">
        <f>transport!N54</f>
        <v>0</v>
      </c>
      <c r="O10" s="477">
        <f>transport!O54</f>
        <v>0</v>
      </c>
      <c r="P10" s="478">
        <f>transport!P54</f>
        <v>0</v>
      </c>
      <c r="Q10" s="476">
        <f t="shared" si="0"/>
        <v>3101.7004499935952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1349.929521</v>
      </c>
      <c r="C14" s="484"/>
      <c r="D14" s="484">
        <f>'SEAP template'!E25</f>
        <v>3039.2847078467998</v>
      </c>
      <c r="E14" s="484"/>
      <c r="F14" s="484"/>
      <c r="G14" s="484"/>
      <c r="H14" s="484"/>
      <c r="I14" s="484"/>
      <c r="J14" s="484"/>
      <c r="K14" s="484"/>
      <c r="L14" s="484"/>
      <c r="M14" s="484"/>
      <c r="N14" s="484"/>
      <c r="O14" s="484"/>
      <c r="P14" s="485"/>
      <c r="Q14" s="476">
        <f t="shared" si="0"/>
        <v>4389.2142288468003</v>
      </c>
    </row>
    <row r="15" spans="1:17" s="486" customFormat="1">
      <c r="A15" s="1039" t="s">
        <v>555</v>
      </c>
      <c r="B15" s="987">
        <f ca="1">SUM(B4:B14)</f>
        <v>113019.67371433589</v>
      </c>
      <c r="C15" s="987">
        <f t="shared" ref="C15:Q15" ca="1" si="1">SUM(C4:C14)</f>
        <v>20285.357142857141</v>
      </c>
      <c r="D15" s="987">
        <f t="shared" ca="1" si="1"/>
        <v>149339.0780252796</v>
      </c>
      <c r="E15" s="987">
        <f t="shared" si="1"/>
        <v>10973.023357514543</v>
      </c>
      <c r="F15" s="987">
        <f t="shared" ca="1" si="1"/>
        <v>95762.266329851322</v>
      </c>
      <c r="G15" s="987">
        <f t="shared" si="1"/>
        <v>115481.41149857314</v>
      </c>
      <c r="H15" s="987">
        <f t="shared" si="1"/>
        <v>25431.965346796791</v>
      </c>
      <c r="I15" s="987">
        <f t="shared" si="1"/>
        <v>0</v>
      </c>
      <c r="J15" s="987">
        <f t="shared" si="1"/>
        <v>236.01491430060247</v>
      </c>
      <c r="K15" s="987">
        <f t="shared" si="1"/>
        <v>0</v>
      </c>
      <c r="L15" s="987">
        <f t="shared" ca="1" si="1"/>
        <v>0</v>
      </c>
      <c r="M15" s="987">
        <f t="shared" si="1"/>
        <v>7492.5072227791552</v>
      </c>
      <c r="N15" s="987">
        <f t="shared" ca="1" si="1"/>
        <v>23246.704451172242</v>
      </c>
      <c r="O15" s="987">
        <f t="shared" si="1"/>
        <v>342.37000000000006</v>
      </c>
      <c r="P15" s="987">
        <f t="shared" si="1"/>
        <v>1391.8666666666666</v>
      </c>
      <c r="Q15" s="987">
        <f t="shared" ca="1" si="1"/>
        <v>563002.23867012712</v>
      </c>
    </row>
    <row r="17" spans="1:17">
      <c r="A17" s="487" t="s">
        <v>556</v>
      </c>
      <c r="B17" s="786">
        <f ca="1">huishoudens!B10</f>
        <v>0.16621289323293009</v>
      </c>
      <c r="C17" s="786">
        <f ca="1">huishoudens!C10</f>
        <v>0.23764705882352938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6374.8805330566065</v>
      </c>
      <c r="C22" s="477">
        <f t="shared" ref="C22:C32" ca="1" si="3">C4*$C$17</f>
        <v>0</v>
      </c>
      <c r="D22" s="477">
        <f t="shared" ref="D22:D32" si="4">D4*$D$17</f>
        <v>15268.122088220305</v>
      </c>
      <c r="E22" s="477">
        <f t="shared" ref="E22:E32" si="5">E4*$E$17</f>
        <v>1212.8614421484367</v>
      </c>
      <c r="F22" s="477">
        <f t="shared" ref="F22:F32" si="6">F4*$F$17</f>
        <v>18202.51514913647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41058.37921256182</v>
      </c>
    </row>
    <row r="23" spans="1:17">
      <c r="A23" s="476" t="s">
        <v>156</v>
      </c>
      <c r="B23" s="477">
        <f t="shared" ca="1" si="2"/>
        <v>7332.4396337134121</v>
      </c>
      <c r="C23" s="477">
        <f t="shared" ca="1" si="3"/>
        <v>8.4025210084033617</v>
      </c>
      <c r="D23" s="477">
        <f t="shared" ca="1" si="4"/>
        <v>10952.490955783625</v>
      </c>
      <c r="E23" s="477">
        <f t="shared" si="5"/>
        <v>163.44311298373947</v>
      </c>
      <c r="F23" s="477">
        <f t="shared" ca="1" si="6"/>
        <v>2035.6466751206535</v>
      </c>
      <c r="G23" s="477">
        <f t="shared" si="7"/>
        <v>0</v>
      </c>
      <c r="H23" s="477">
        <f t="shared" si="8"/>
        <v>0</v>
      </c>
      <c r="I23" s="477">
        <f t="shared" si="9"/>
        <v>0</v>
      </c>
      <c r="J23" s="477">
        <f t="shared" si="10"/>
        <v>1.960953920000208E-2</v>
      </c>
      <c r="K23" s="477">
        <f t="shared" si="11"/>
        <v>0</v>
      </c>
      <c r="L23" s="477">
        <f t="shared" ca="1" si="12"/>
        <v>0</v>
      </c>
      <c r="M23" s="477">
        <f t="shared" si="13"/>
        <v>0</v>
      </c>
      <c r="N23" s="477">
        <f t="shared" ca="1" si="14"/>
        <v>0</v>
      </c>
      <c r="O23" s="477">
        <f t="shared" si="15"/>
        <v>0</v>
      </c>
      <c r="P23" s="478">
        <f t="shared" si="16"/>
        <v>0</v>
      </c>
      <c r="Q23" s="476">
        <f t="shared" ref="Q23:Q32" ca="1" si="17">SUM(B23:P23)</f>
        <v>20492.442508149034</v>
      </c>
    </row>
    <row r="24" spans="1:17">
      <c r="A24" s="476" t="s">
        <v>194</v>
      </c>
      <c r="B24" s="477">
        <f t="shared" ca="1" si="2"/>
        <v>335.93919460301782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335.93919460301782</v>
      </c>
    </row>
    <row r="25" spans="1:17">
      <c r="A25" s="476" t="s">
        <v>112</v>
      </c>
      <c r="B25" s="477">
        <f t="shared" ca="1" si="2"/>
        <v>269.20165965276095</v>
      </c>
      <c r="C25" s="477">
        <f t="shared" ca="1" si="3"/>
        <v>4812.3529411764703</v>
      </c>
      <c r="D25" s="477">
        <f t="shared" si="4"/>
        <v>0</v>
      </c>
      <c r="E25" s="477">
        <f t="shared" si="5"/>
        <v>10.80646369384452</v>
      </c>
      <c r="F25" s="477">
        <f t="shared" si="6"/>
        <v>1801.5151449647885</v>
      </c>
      <c r="G25" s="477">
        <f t="shared" si="7"/>
        <v>0</v>
      </c>
      <c r="H25" s="477">
        <f t="shared" si="8"/>
        <v>0</v>
      </c>
      <c r="I25" s="477">
        <f t="shared" si="9"/>
        <v>0</v>
      </c>
      <c r="J25" s="477">
        <f t="shared" si="10"/>
        <v>83.065426802075393</v>
      </c>
      <c r="K25" s="477">
        <f t="shared" si="11"/>
        <v>0</v>
      </c>
      <c r="L25" s="477">
        <f t="shared" si="12"/>
        <v>0</v>
      </c>
      <c r="M25" s="477">
        <f t="shared" si="13"/>
        <v>0</v>
      </c>
      <c r="N25" s="477">
        <f t="shared" si="14"/>
        <v>0</v>
      </c>
      <c r="O25" s="477">
        <f t="shared" si="15"/>
        <v>0</v>
      </c>
      <c r="P25" s="478">
        <f t="shared" si="16"/>
        <v>0</v>
      </c>
      <c r="Q25" s="476">
        <f t="shared" ca="1" si="17"/>
        <v>6976.9416362899392</v>
      </c>
    </row>
    <row r="26" spans="1:17">
      <c r="A26" s="476" t="s">
        <v>635</v>
      </c>
      <c r="B26" s="477">
        <f t="shared" ca="1" si="2"/>
        <v>4237.2048751164866</v>
      </c>
      <c r="C26" s="477">
        <f t="shared" ca="1" si="3"/>
        <v>0</v>
      </c>
      <c r="D26" s="477">
        <f t="shared" si="4"/>
        <v>3287.000226873688</v>
      </c>
      <c r="E26" s="477">
        <f t="shared" si="5"/>
        <v>1031.8378636861348</v>
      </c>
      <c r="F26" s="477">
        <f t="shared" si="6"/>
        <v>3528.8481408483931</v>
      </c>
      <c r="G26" s="477">
        <f t="shared" si="7"/>
        <v>0</v>
      </c>
      <c r="H26" s="477">
        <f t="shared" si="8"/>
        <v>0</v>
      </c>
      <c r="I26" s="477">
        <f t="shared" si="9"/>
        <v>0</v>
      </c>
      <c r="J26" s="477">
        <f t="shared" si="10"/>
        <v>0.46424332113786931</v>
      </c>
      <c r="K26" s="477">
        <f t="shared" si="11"/>
        <v>0</v>
      </c>
      <c r="L26" s="477">
        <f t="shared" si="12"/>
        <v>0</v>
      </c>
      <c r="M26" s="477">
        <f t="shared" si="13"/>
        <v>0</v>
      </c>
      <c r="N26" s="477">
        <f t="shared" si="14"/>
        <v>0</v>
      </c>
      <c r="O26" s="477">
        <f t="shared" si="15"/>
        <v>0</v>
      </c>
      <c r="P26" s="478">
        <f t="shared" si="16"/>
        <v>0</v>
      </c>
      <c r="Q26" s="476">
        <f t="shared" ca="1" si="17"/>
        <v>12085.35534984584</v>
      </c>
    </row>
    <row r="27" spans="1:17" s="482" customFormat="1">
      <c r="A27" s="480" t="s">
        <v>561</v>
      </c>
      <c r="B27" s="780">
        <f t="shared" ca="1" si="2"/>
        <v>11.285372813267591</v>
      </c>
      <c r="C27" s="481">
        <f t="shared" ca="1" si="3"/>
        <v>0</v>
      </c>
      <c r="D27" s="481">
        <f t="shared" si="4"/>
        <v>44.944979243804497</v>
      </c>
      <c r="E27" s="481">
        <f t="shared" si="5"/>
        <v>71.927419643646147</v>
      </c>
      <c r="F27" s="481">
        <f t="shared" si="6"/>
        <v>0</v>
      </c>
      <c r="G27" s="481">
        <f t="shared" si="7"/>
        <v>30049.890504094208</v>
      </c>
      <c r="H27" s="481">
        <f t="shared" si="8"/>
        <v>6332.5593713524013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36510.607647147328</v>
      </c>
    </row>
    <row r="28" spans="1:17">
      <c r="A28" s="476" t="s">
        <v>551</v>
      </c>
      <c r="B28" s="477">
        <f t="shared" ca="1" si="2"/>
        <v>0</v>
      </c>
      <c r="C28" s="477">
        <f t="shared" ca="1" si="3"/>
        <v>0</v>
      </c>
      <c r="D28" s="477">
        <f t="shared" si="4"/>
        <v>0</v>
      </c>
      <c r="E28" s="477">
        <f t="shared" si="5"/>
        <v>0</v>
      </c>
      <c r="F28" s="477">
        <f t="shared" si="6"/>
        <v>0</v>
      </c>
      <c r="G28" s="477">
        <f t="shared" si="7"/>
        <v>783.64636602482142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783.64636602482142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224.37569134595347</v>
      </c>
      <c r="C32" s="477">
        <f t="shared" ca="1" si="3"/>
        <v>0</v>
      </c>
      <c r="D32" s="477">
        <f t="shared" si="4"/>
        <v>613.93551098505361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838.31120233100705</v>
      </c>
    </row>
    <row r="33" spans="1:17" s="486" customFormat="1">
      <c r="A33" s="1039" t="s">
        <v>555</v>
      </c>
      <c r="B33" s="987">
        <f ca="1">SUM(B22:B32)</f>
        <v>18785.326960301507</v>
      </c>
      <c r="C33" s="987">
        <f t="shared" ref="C33:Q33" ca="1" si="18">SUM(C22:C32)</f>
        <v>4820.755462184874</v>
      </c>
      <c r="D33" s="987">
        <f t="shared" ca="1" si="18"/>
        <v>30166.493761106482</v>
      </c>
      <c r="E33" s="987">
        <f t="shared" si="18"/>
        <v>2490.8763021558016</v>
      </c>
      <c r="F33" s="987">
        <f t="shared" ca="1" si="18"/>
        <v>25568.525110070306</v>
      </c>
      <c r="G33" s="987">
        <f t="shared" si="18"/>
        <v>30833.536870119031</v>
      </c>
      <c r="H33" s="987">
        <f t="shared" si="18"/>
        <v>6332.5593713524013</v>
      </c>
      <c r="I33" s="987">
        <f t="shared" si="18"/>
        <v>0</v>
      </c>
      <c r="J33" s="987">
        <f t="shared" si="18"/>
        <v>83.549279662413269</v>
      </c>
      <c r="K33" s="987">
        <f t="shared" si="18"/>
        <v>0</v>
      </c>
      <c r="L33" s="987">
        <f t="shared" ca="1" si="18"/>
        <v>0</v>
      </c>
      <c r="M33" s="987">
        <f t="shared" si="18"/>
        <v>0</v>
      </c>
      <c r="N33" s="987">
        <f t="shared" ca="1" si="18"/>
        <v>0</v>
      </c>
      <c r="O33" s="987">
        <f t="shared" si="18"/>
        <v>0</v>
      </c>
      <c r="P33" s="987">
        <f t="shared" si="18"/>
        <v>0</v>
      </c>
      <c r="Q33" s="987">
        <f t="shared" ca="1" si="18"/>
        <v>119081.6231169528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15846.522752342617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13241.282696056202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14199.75</v>
      </c>
      <c r="D8" s="1056">
        <f>'SEAP template'!D76</f>
        <v>16705.588235294115</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3374.5288235294115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29087.805448398816</v>
      </c>
      <c r="C10" s="1060">
        <f>SUM(C4:C9)</f>
        <v>14199.75</v>
      </c>
      <c r="D10" s="1060">
        <f t="shared" ref="D10:H10" si="0">SUM(D8:D9)</f>
        <v>16705.588235294115</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3374.5288235294115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0.16621289323293009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20285.357142857141</v>
      </c>
      <c r="D17" s="1057">
        <f>'SEAP template'!D87</f>
        <v>23865.126050420164</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4820.7554621848731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20285.357142857141</v>
      </c>
      <c r="D20" s="1060">
        <f t="shared" ref="D20:H20" si="2">SUM(D17:D19)</f>
        <v>23865.126050420164</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4820.7554621848731</v>
      </c>
    </row>
    <row r="22" spans="1:16">
      <c r="A22" s="487" t="s">
        <v>862</v>
      </c>
      <c r="B22" s="786" t="s">
        <v>856</v>
      </c>
      <c r="C22" s="786">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0.16621289323293009</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2019-08-12T08:32:44Z</dcterms:modified>
</cp:coreProperties>
</file>