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J18" i="18"/>
  <c r="I18"/>
  <c r="H18"/>
  <c r="G18"/>
  <c r="H88" i="14" s="1"/>
  <c r="H18" i="61" s="1"/>
  <c r="F18" i="18"/>
  <c r="G88" i="14" s="1"/>
  <c r="G18" i="61" s="1"/>
  <c r="E18" i="18"/>
  <c r="D18"/>
  <c r="D20" s="1"/>
  <c r="C18"/>
  <c r="B18"/>
  <c r="L9"/>
  <c r="L10" s="1"/>
  <c r="K9"/>
  <c r="N77" i="14" s="1"/>
  <c r="G9" i="18"/>
  <c r="G10" s="1"/>
  <c r="F9"/>
  <c r="F10" s="1"/>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E9" s="1"/>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N10" s="1"/>
  <c r="L20"/>
  <c r="G10"/>
  <c r="N20"/>
  <c r="L78" i="14"/>
  <c r="L8" i="61"/>
  <c r="L10" s="1"/>
  <c r="K78" i="14"/>
  <c r="K8" i="61"/>
  <c r="K10" s="1"/>
  <c r="L90" i="14"/>
  <c r="L18" i="61"/>
  <c r="G77" i="14"/>
  <c r="G9" i="61" s="1"/>
  <c r="H20"/>
  <c r="O10"/>
  <c r="G20"/>
  <c r="K20"/>
  <c r="Q11" i="48"/>
  <c r="O25"/>
  <c r="O32"/>
  <c r="C98" i="18"/>
  <c r="E101" s="1"/>
  <c r="E8" s="1"/>
  <c r="D13" i="15"/>
  <c r="O77" i="14"/>
  <c r="O9" i="61" s="1"/>
  <c r="E88" i="14"/>
  <c r="O30" i="48"/>
  <c r="C13" i="15"/>
  <c r="K90" i="14"/>
  <c r="K22"/>
  <c r="Q52"/>
  <c r="F6" i="17"/>
  <c r="I9" i="18"/>
  <c r="O9" s="1"/>
  <c r="P27" i="48"/>
  <c r="B10" i="18"/>
  <c r="M77" i="14"/>
  <c r="M9" i="61" s="1"/>
  <c r="H9" i="18"/>
  <c r="L13" i="15"/>
  <c r="B13"/>
  <c r="H90" i="14"/>
  <c r="N13" i="15"/>
  <c r="F77" i="14"/>
  <c r="F9" i="61" s="1"/>
  <c r="G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E90" i="14"/>
  <c r="E18" i="61"/>
  <c r="E20" s="1"/>
  <c r="I8" i="18"/>
  <c r="F101"/>
  <c r="H101"/>
  <c r="J8" s="1"/>
  <c r="I77" i="14"/>
  <c r="I9" i="61" s="1"/>
  <c r="D101" i="18"/>
  <c r="C101"/>
  <c r="B101"/>
  <c r="C8" s="1"/>
  <c r="I101"/>
  <c r="H8" s="1"/>
  <c r="M76" i="14" s="1"/>
  <c r="B88"/>
  <c r="B18" i="61" s="1"/>
  <c r="B77" i="14"/>
  <c r="B9" i="61" s="1"/>
  <c r="Q77" i="14"/>
  <c r="P9" i="61" s="1"/>
  <c r="J17" i="18"/>
  <c r="H20"/>
  <c r="M87" i="14"/>
  <c r="H10" i="18"/>
  <c r="E20"/>
  <c r="F87" i="14"/>
  <c r="C20" i="18"/>
  <c r="D87" i="14"/>
  <c r="D17" i="61" s="1"/>
  <c r="D20" s="1"/>
  <c r="C10" i="18"/>
  <c r="C88" i="14"/>
  <c r="C18" i="61" s="1"/>
  <c r="F76" i="14"/>
  <c r="E10" i="18"/>
  <c r="I17"/>
  <c r="I10"/>
  <c r="I76" i="14"/>
  <c r="I8" i="61" s="1"/>
  <c r="Q88" i="14"/>
  <c r="P18" i="61" s="1"/>
  <c r="AC15" i="5"/>
  <c r="M78" i="14" l="1"/>
  <c r="M8" i="61"/>
  <c r="M10" s="1"/>
  <c r="O8" i="18"/>
  <c r="O10" s="1"/>
  <c r="F78" i="14"/>
  <c r="F8" i="61"/>
  <c r="F10" s="1"/>
  <c r="F90" i="14"/>
  <c r="F17" i="61"/>
  <c r="F20" s="1"/>
  <c r="M90" i="14"/>
  <c r="M17" i="61"/>
  <c r="M20" s="1"/>
  <c r="C77" i="14"/>
  <c r="C9" i="61" s="1"/>
  <c r="I10"/>
  <c r="D76" i="14"/>
  <c r="D8" i="61" s="1"/>
  <c r="D10" s="1"/>
  <c r="I78" i="14"/>
  <c r="J87"/>
  <c r="J20" i="18"/>
  <c r="I87" i="14"/>
  <c r="I17" i="61" s="1"/>
  <c r="I20" s="1"/>
  <c r="I20" i="18"/>
  <c r="O17"/>
  <c r="O20" s="1"/>
  <c r="Q87" i="14"/>
  <c r="D90"/>
  <c r="J10" i="18"/>
  <c r="J76" i="14"/>
  <c r="D5" i="13"/>
  <c r="Q90" i="14" l="1"/>
  <c r="B17" i="6" s="1"/>
  <c r="P17" i="61"/>
  <c r="P20" s="1"/>
  <c r="J78" i="14"/>
  <c r="J8" i="61"/>
  <c r="J10" s="1"/>
  <c r="J90" i="14"/>
  <c r="J17" i="61"/>
  <c r="J20" s="1"/>
  <c r="Q76" i="14"/>
  <c r="D78"/>
  <c r="I90"/>
  <c r="B87"/>
  <c r="C87"/>
  <c r="C76"/>
  <c r="B76"/>
  <c r="B26" i="17"/>
  <c r="B90" i="14" l="1"/>
  <c r="B17" i="61"/>
  <c r="B20" s="1"/>
  <c r="C90" i="14"/>
  <c r="C17" i="61"/>
  <c r="C20" s="1"/>
  <c r="C78" i="14"/>
  <c r="C8" i="61"/>
  <c r="C10" s="1"/>
  <c r="B78" i="14"/>
  <c r="B8" i="61"/>
  <c r="B10" s="1"/>
  <c r="Q78" i="14"/>
  <c r="B9" i="6" s="1"/>
  <c r="P8" i="61"/>
  <c r="P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6"/>
  <c r="H30"/>
  <c r="H28"/>
  <c r="H24"/>
  <c r="H25"/>
  <c r="H22"/>
  <c r="H23"/>
  <c r="D11" i="14"/>
  <c r="C4" i="48"/>
  <c r="G23"/>
  <c r="G32"/>
  <c r="G22"/>
  <c r="G30"/>
  <c r="G26"/>
  <c r="G24"/>
  <c r="G25"/>
  <c r="G29"/>
  <c r="C11" i="14"/>
  <c r="B4" i="48"/>
  <c r="F24"/>
  <c r="F29"/>
  <c r="F30"/>
  <c r="F32"/>
  <c r="F28"/>
  <c r="F31"/>
  <c r="F27"/>
  <c r="N30"/>
  <c r="N32"/>
  <c r="N24"/>
  <c r="N27"/>
  <c r="N31"/>
  <c r="N28"/>
  <c r="N29"/>
  <c r="C19" i="14"/>
  <c r="B10" i="48"/>
  <c r="E29"/>
  <c r="E31"/>
  <c r="E24"/>
  <c r="E30"/>
  <c r="E28"/>
  <c r="E32"/>
  <c r="M29"/>
  <c r="M25"/>
  <c r="M22"/>
  <c r="M26"/>
  <c r="M24"/>
  <c r="M30"/>
  <c r="M32"/>
  <c r="M23"/>
  <c r="K5"/>
  <c r="L10" i="14"/>
  <c r="L16" s="1"/>
  <c r="L27" s="1"/>
  <c r="D30" i="48"/>
  <c r="D28"/>
  <c r="D29"/>
  <c r="D31"/>
  <c r="D32"/>
  <c r="D24"/>
  <c r="L29"/>
  <c r="L32"/>
  <c r="L27"/>
  <c r="L30"/>
  <c r="L28"/>
  <c r="L24"/>
  <c r="L31"/>
  <c r="L22"/>
  <c r="P5"/>
  <c r="P23" s="1"/>
  <c r="Q10" i="14"/>
  <c r="K32" i="48"/>
  <c r="K24"/>
  <c r="K27"/>
  <c r="K31"/>
  <c r="K25"/>
  <c r="K26"/>
  <c r="K28"/>
  <c r="K29"/>
  <c r="K22"/>
  <c r="K30"/>
  <c r="B7"/>
  <c r="C24" i="14"/>
  <c r="C26" s="1"/>
  <c r="J30" i="48"/>
  <c r="J32"/>
  <c r="J24"/>
  <c r="J31"/>
  <c r="J29"/>
  <c r="J27"/>
  <c r="J28"/>
  <c r="P4"/>
  <c r="Q11" i="14"/>
  <c r="O4" i="48"/>
  <c r="P11" i="14"/>
  <c r="I29" i="48"/>
  <c r="I25"/>
  <c r="I27"/>
  <c r="I24"/>
  <c r="I31"/>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P22" i="48"/>
  <c r="P33" s="1"/>
  <c r="P15"/>
  <c r="E9"/>
  <c r="E27" s="1"/>
  <c r="F20" i="14"/>
  <c r="F22" s="1"/>
  <c r="P8" i="48"/>
  <c r="P26" s="1"/>
  <c r="Q13" i="14"/>
  <c r="O22" i="48"/>
  <c r="D9"/>
  <c r="D27" s="1"/>
  <c r="E20" i="14"/>
  <c r="E22" s="1"/>
  <c r="O5" i="48"/>
  <c r="O23" s="1"/>
  <c r="P10" i="14"/>
  <c r="K23" i="48"/>
  <c r="K15"/>
  <c r="C22" i="14"/>
  <c r="B9" i="48"/>
  <c r="C20" i="14"/>
  <c r="J7" i="48"/>
  <c r="J25" s="1"/>
  <c r="K24" i="14"/>
  <c r="K26" s="1"/>
  <c r="F4" i="48"/>
  <c r="F22" s="1"/>
  <c r="G11" i="14"/>
  <c r="J10"/>
  <c r="J16" s="1"/>
  <c r="J27" s="1"/>
  <c r="J63" s="1"/>
  <c r="I5" i="48"/>
  <c r="L46" i="14"/>
  <c r="L61" s="1"/>
  <c r="L63" s="1"/>
  <c r="Q16"/>
  <c r="Q27"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O8" i="48"/>
  <c r="P13" i="14"/>
  <c r="P16" s="1"/>
  <c r="P27" s="1"/>
  <c r="K11"/>
  <c r="J4" i="48"/>
  <c r="N4"/>
  <c r="N22" s="1"/>
  <c r="O11" i="14"/>
  <c r="I23" i="48"/>
  <c r="I33" s="1"/>
  <c r="I15"/>
  <c r="M10"/>
  <c r="M28" s="1"/>
  <c r="N19" i="14"/>
  <c r="N22" s="1"/>
  <c r="N27" s="1"/>
  <c r="G10" i="48"/>
  <c r="H19" i="14"/>
  <c r="E7" i="48"/>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K10" l="1"/>
  <c r="J5" i="48"/>
  <c r="J23" s="1"/>
  <c r="E22"/>
  <c r="Q4"/>
  <c r="E5"/>
  <c r="E23" s="1"/>
  <c r="F10" i="14"/>
  <c r="O26" i="48"/>
  <c r="O33" s="1"/>
  <c r="O15"/>
  <c r="G28"/>
  <c r="Q10"/>
  <c r="R19" i="14"/>
  <c r="J22" i="48"/>
  <c r="G9"/>
  <c r="H20" i="14"/>
  <c r="H22" s="1"/>
  <c r="H27"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R22" l="1"/>
  <c r="K13"/>
  <c r="K16" s="1"/>
  <c r="K27" s="1"/>
  <c r="K63" s="1"/>
  <c r="J8" i="48"/>
  <c r="J26" s="1"/>
  <c r="J33" s="1"/>
  <c r="E8"/>
  <c r="F13" i="14"/>
  <c r="G27" i="48"/>
  <c r="G33" s="1"/>
  <c r="G15"/>
  <c r="H63" i="14"/>
  <c r="I63"/>
  <c r="R20"/>
  <c r="F16"/>
  <c r="F27" s="1"/>
  <c r="N8" i="48"/>
  <c r="N26" s="1"/>
  <c r="O13" i="14"/>
  <c r="F8" i="48"/>
  <c r="G13" i="14"/>
  <c r="E22" i="16"/>
  <c r="F43" i="14" s="1"/>
  <c r="F46" s="1"/>
  <c r="F61" s="1"/>
  <c r="F22" i="16"/>
  <c r="G43" i="14" s="1"/>
  <c r="N22" i="16"/>
  <c r="O43" i="14" s="1"/>
  <c r="J22" i="16"/>
  <c r="K43" i="14" s="1"/>
  <c r="K46" s="1"/>
  <c r="K61" s="1"/>
  <c r="E26" i="48" l="1"/>
  <c r="E33" s="1"/>
  <c r="E15"/>
  <c r="F63" i="14"/>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<sst xmlns="http://schemas.openxmlformats.org/spreadsheetml/2006/main" count="2383" uniqueCount="881">
  <si>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</si>
  <si>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</si>
  <si>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</si>
  <si>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</si>
  <si>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</si>
  <si>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</si>
  <si>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</si>
  <si>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</si>
  <si>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</si>
  <si>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</si>
  <si>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</si>
  <si>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</si>
  <si>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</si>
  <si>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</si>
  <si>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</si>
  <si>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</si>
  <si>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</si>
  <si>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</si>
  <si>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</si>
  <si>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</si>
  <si>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</si>
  <si>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</si>
  <si>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</si>
  <si>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</si>
  <si>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</si>
  <si>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</si>
  <si>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</si>
  <si>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</si>
  <si>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</si>
  <si>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</si>
  <si>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</si>
  <si>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</si>
  <si>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</si>
  <si>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</si>
  <si>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</si>
  <si>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</si>
  <si>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</si>
  <si>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</si>
  <si>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</si>
  <si>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</si>
  <si>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</si>
  <si>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</si>
  <si>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</si>
  <si>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</si>
  <si>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</si>
  <si>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</si>
  <si>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</si>
  <si>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</si>
  <si>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</si>
  <si>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</si>
  <si>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</si>
  <si>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</si>
  <si>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</si>
  <si>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</si>
  <si>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</si>
  <si>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</si>
  <si>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</si>
  <si>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</si>
  <si>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</si>
  <si>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</si>
  <si>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</si>
  <si>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</si>
  <si>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</si>
  <si>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</si>
  <si>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</si>
  <si>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</si>
  <si>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</si>
  <si>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</si>
  <si>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</si>
  <si>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</si>
  <si>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</si>
  <si>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</si>
  <si>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</si>
  <si>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</si>
  <si>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</si>
  <si>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</si>
  <si>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</si>
  <si>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</si>
  <si>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</si>
  <si>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</si>
  <si>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</si>
  <si>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</si>
  <si>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</si>
  <si>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</si>
  <si>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</si>
  <si>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</si>
  <si>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</si>
  <si>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</si>
  <si>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</si>
  <si>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</si>
  <si>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</si>
  <si>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</si>
  <si>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</si>
  <si>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</si>
  <si>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</si>
  <si>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</si>
  <si>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</si>
  <si>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</si>
  <si>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</si>
  <si>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</si>
  <si>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</si>
  <si>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</si>
  <si>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</si>
  <si>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</si>
  <si>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</si>
  <si>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</si>
  <si>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</si>
  <si>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</si>
  <si>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</si>
  <si>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</si>
  <si>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</si>
  <si>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</si>
  <si>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</si>
  <si>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</si>
  <si>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</si>
  <si>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</si>
  <si>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</si>
  <si>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</si>
  <si>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</si>
  <si>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</si>
  <si>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</si>
  <si>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</si>
  <si>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</si>
  <si>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</si>
  <si>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</si>
  <si>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</si>
  <si>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</si>
  <si>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</si>
  <si>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</si>
  <si>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</si>
  <si>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</si>
  <si>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</si>
  <si>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</si>
  <si>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</si>
  <si>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</si>
  <si>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</si>
  <si>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</si>
  <si>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</si>
  <si>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</si>
  <si>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</si>
  <si>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</si>
  <si>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</si>
  <si>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</si>
  <si>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</si>
  <si>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</si>
  <si>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</si>
  <si>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</si>
  <si>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</si>
  <si>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</si>
  <si>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</si>
  <si>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</si>
  <si>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</si>
  <si>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</si>
  <si>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</si>
  <si>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</si>
  <si>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</si>
  <si>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</si>
  <si>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</si>
  <si>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</si>
  <si>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</si>
  <si>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</si>
  <si>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</si>
  <si>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</si>
  <si>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</si>
  <si>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</si>
  <si>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</si>
  <si>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</si>
  <si>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</si>
  <si>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</si>
  <si>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</si>
  <si>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</si>
  <si>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</si>
  <si>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</si>
  <si>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</si>
  <si>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</si>
  <si>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</si>
  <si>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</si>
  <si>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</si>
  <si>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</si>
  <si>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</si>
  <si>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</si>
  <si>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</si>
  <si>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</si>
  <si>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</si>
  <si>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</si>
  <si>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</si>
  <si>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</si>
  <si>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</si>
  <si>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</si>
  <si>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</si>
  <si>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</si>
  <si>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</si>
  <si>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</si>
  <si>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</si>
  <si>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</si>
  <si>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</si>
  <si>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</si>
  <si>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</si>
  <si>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</si>
  <si>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</si>
  <si>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</si>
  <si>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</si>
  <si>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</si>
  <si>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</si>
  <si>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</si>
  <si>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</si>
  <si>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</si>
  <si>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</si>
  <si>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</si>
  <si>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</si>
  <si>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</si>
  <si>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</si>
  <si>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</si>
  <si>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</si>
  <si>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</si>
  <si>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</si>
  <si>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</si>
  <si>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</si>
  <si>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</si>
  <si>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</si>
  <si>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</si>
  <si>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</si>
  <si>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</si>
  <si>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</si>
  <si>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</si>
  <si>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</si>
  <si>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</si>
  <si>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</si>
  <si>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</si>
  <si>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</si>
  <si>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</si>
  <si>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</si>
  <si>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</si>
  <si>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</si>
  <si>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</si>
  <si>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</si>
  <si>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</si>
  <si>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</si>
  <si>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</si>
  <si>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</si>
  <si>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</si>
  <si>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</si>
  <si>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</si>
  <si>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</si>
  <si>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</si>
  <si>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</si>
  <si>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</si>
  <si>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</si>
  <si>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</si>
  <si>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</si>
  <si>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</si>
  <si>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</si>
  <si>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</si>
  <si>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</si>
  <si>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</si>
  <si>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</si>
  <si>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</si>
  <si>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</si>
  <si>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</si>
  <si>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</si>
  <si>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</si>
  <si>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</si>
  <si>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</si>
  <si>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</si>
  <si>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</si>
  <si>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</si>
  <si>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</si>
  <si>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</si>
  <si>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</si>
  <si>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</si>
  <si>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</si>
  <si>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</si>
  <si>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</si>
  <si>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</si>
  <si>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</si>
  <si>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</si>
  <si>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</si>
  <si>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</si>
  <si>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</si>
  <si>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</si>
  <si>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</si>
  <si>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</si>
  <si>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</si>
  <si>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</si>
  <si>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</si>
  <si>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</si>
  <si>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</si>
  <si>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</si>
  <si>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</si>
  <si>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</si>
  <si>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</si>
  <si>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</si>
  <si>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</si>
  <si>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</si>
  <si>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</si>
  <si>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</si>
  <si>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</si>
  <si>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</si>
  <si>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</si>
  <si>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</si>
  <si>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</si>
  <si>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</si>
  <si>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</si>
  <si>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</si>
  <si>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</si>
  <si>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</si>
  <si>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</si>
  <si>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</si>
  <si>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</si>
  <si>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</si>
  <si>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</si>
  <si>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</si>
  <si>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</si>
  <si>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</si>
  <si>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</si>
  <si>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</si>
  <si>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</si>
  <si>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</si>
  <si>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</si>
  <si>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</si>
  <si>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</si>
  <si>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</si>
  <si>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</si>
  <si>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</si>
  <si>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</si>
  <si>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</si>
  <si>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</si>
  <si>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</si>
  <si>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</si>
  <si>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</si>
  <si>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</si>
  <si>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</si>
  <si>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</si>
  <si>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</si>
  <si>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</si>
  <si>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</si>
  <si>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</si>
  <si>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</si>
  <si>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</si>
  <si>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</si>
  <si>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</si>
  <si>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</si>
  <si>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</si>
  <si>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</si>
  <si>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</si>
  <si>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</si>
  <si>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</si>
  <si>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</si>
  <si>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</si>
  <si>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</si>
  <si>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</si>
  <si>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</si>
  <si>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</si>
  <si>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</si>
  <si>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</si>
  <si>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</si>
  <si>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</si>
  <si>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</si>
  <si>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</si>
  <si>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</si>
  <si>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</si>
  <si>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</si>
  <si>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</si>
  <si>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</si>
  <si>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</si>
  <si>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</si>
  <si>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</si>
  <si>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</si>
  <si>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</si>
  <si>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</si>
  <si>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</si>
  <si>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</si>
  <si>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</si>
  <si>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</si>
  <si>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</si>
  <si>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</si>
  <si>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</si>
  <si>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</si>
  <si>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</si>
  <si>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</si>
  <si>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</si>
  <si>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</si>
  <si>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</si>
  <si>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</si>
  <si>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</si>
  <si>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</si>
  <si>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</si>
  <si>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</si>
  <si>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</si>
  <si>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</si>
  <si>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</si>
  <si>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</si>
  <si>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</si>
  <si>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</si>
  <si>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</si>
  <si>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</si>
  <si>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</si>
  <si>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</si>
  <si>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</si>
  <si>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</si>
  <si>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</si>
  <si>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</si>
  <si>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</si>
  <si>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</si>
  <si>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</si>
  <si>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</si>
  <si>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</si>
  <si>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</si>
  <si>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</si>
  <si>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</si>
  <si>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</si>
  <si>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</si>
  <si>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</si>
  <si>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</si>
  <si>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</si>
  <si>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</si>
  <si>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</si>
  <si>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</si>
  <si>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</si>
  <si>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</si>
  <si>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</si>
  <si>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</si>
  <si>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</si>
  <si>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</si>
  <si>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</si>
  <si>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</si>
  <si>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</si>
  <si>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</si>
  <si>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</si>
  <si>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</si>
  <si>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</si>
  <si>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</si>
  <si>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</si>
  <si>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</si>
  <si>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</si>
  <si>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</si>
  <si>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</si>
  <si>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</si>
  <si>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</si>
  <si>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</si>
  <si>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</si>
  <si>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</si>
  <si>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</si>
  <si>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</si>
  <si>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</si>
  <si>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</si>
  <si>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</si>
  <si>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</si>
  <si>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</si>
  <si>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</si>
  <si>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</si>
  <si>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</si>
  <si>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</si>
  <si>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</si>
  <si>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</si>
  <si>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</si>
  <si>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</si>
  <si>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</si>
  <si>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</si>
  <si>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</si>
  <si>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</si>
  <si>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</si>
  <si>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</si>
  <si>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</si>
  <si>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</si>
  <si>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</si>
  <si>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</si>
  <si>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</si>
  <si>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</si>
  <si>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</si>
  <si>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</si>
  <si>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</si>
  <si>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</si>
  <si>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</si>
  <si>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</si>
  <si>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</si>
  <si>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</si>
  <si>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</si>
  <si>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</si>
  <si>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</si>
  <si>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</si>
  <si>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</si>
  <si>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</si>
  <si>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</si>
  <si>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</si>
  <si>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</si>
  <si>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</si>
  <si>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</si>
  <si>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</si>
  <si>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</si>
  <si>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</si>
  <si>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</si>
  <si>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</si>
  <si>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</si>
  <si>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</si>
  <si>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</si>
  <si>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</si>
  <si>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</si>
  <si>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</si>
  <si>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</si>
  <si>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</si>
  <si>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</si>
  <si>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</si>
  <si>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</si>
  <si>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</si>
  <si>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</si>
  <si>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</si>
  <si>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</si>
  <si>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</si>
  <si>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</si>
  <si>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</si>
  <si>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</si>
  <si>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</si>
  <si>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</si>
  <si>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</si>
  <si>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</si>
  <si>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</si>
  <si>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</si>
  <si>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</si>
  <si>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</si>
  <si>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</si>
  <si>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</si>
  <si>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</si>
  <si>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</si>
  <si>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</si>
  <si>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</si>
  <si>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</si>
  <si>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</si>
  <si>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</si>
  <si>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</si>
  <si>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</si>
  <si>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</si>
  <si>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</si>
  <si>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</si>
  <si>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</si>
  <si>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</si>
  <si>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</si>
  <si>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</si>
  <si>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</si>
  <si>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</si>
  <si>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</si>
  <si>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</si>
  <si>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</si>
  <si>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</si>
  <si>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</si>
  <si>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</si>
  <si>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</si>
  <si>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</si>
  <si>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</si>
  <si>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</si>
  <si>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</si>
  <si>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</si>
  <si>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</si>
  <si>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</si>
  <si>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</si>
  <si>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</si>
  <si>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</si>
  <si>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</si>
  <si>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</si>
  <si>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</si>
  <si>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</si>
  <si>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</si>
  <si>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</si>
  <si>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</si>
  <si>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</si>
  <si>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</si>
  <si>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</si>
  <si>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</si>
  <si>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</si>
  <si>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</si>
  <si>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</si>
  <si>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</si>
  <si>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</si>
  <si>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</si>
  <si>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</si>
  <si>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</si>
  <si>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</si>
  <si>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</si>
  <si>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</si>
  <si>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</si>
  <si>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</si>
  <si>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</si>
  <si>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</si>
  <si>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</si>
  <si>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</si>
  <si>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</si>
  <si>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</si>
  <si>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</si>
  <si>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</si>
  <si>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</si>
  <si>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</si>
  <si>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</si>
  <si>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</si>
  <si>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</si>
  <si>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</si>
  <si>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</si>
  <si>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</si>
  <si>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</si>
  <si>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</si>
  <si>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</si>
  <si>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</si>
  <si>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</si>
  <si>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</si>
  <si>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</si>
  <si>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</si>
  <si>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</si>
  <si>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</si>
  <si>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</si>
  <si>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</si>
  <si>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</si>
  <si>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</si>
  <si>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</si>
  <si>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</si>
  <si>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</si>
  <si>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</si>
  <si>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</si>
  <si>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</si>
  <si>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</si>
  <si>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</si>
  <si>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</si>
  <si>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</si>
  <si>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</si>
  <si>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</si>
  <si>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</si>
  <si>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</si>
  <si>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</si>
  <si>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</si>
  <si>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</si>
  <si>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</si>
  <si>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</si>
  <si>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</si>
  <si>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</si>
  <si>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</si>
  <si>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</si>
  <si>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</si>
  <si>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</si>
  <si>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</si>
  <si>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</si>
  <si>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</si>
  <si>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</si>
  <si>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</si>
  <si>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</si>
  <si>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</si>
  <si>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</si>
  <si>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</si>
  <si>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</si>
  <si>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</si>
  <si>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</si>
  <si>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</si>
  <si>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</si>
  <si>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</si>
  <si>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</si>
  <si>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</si>
  <si>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</si>
  <si>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</si>
  <si>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</si>
  <si>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</si>
  <si>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</si>
  <si>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</si>
  <si>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</si>
  <si>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</si>
  <si>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</si>
  <si>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</si>
  <si>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</si>
  <si>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</si>
  <si>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</si>
  <si>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</si>
  <si>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</si>
  <si>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</si>
  <si>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</si>
  <si>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</si>
  <si>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</si>
  <si>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</si>
  <si>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</si>
  <si>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</si>
  <si>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</si>
  <si>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</si>
  <si>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</si>
  <si>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</si>
  <si>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</si>
  <si>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</si>
  <si>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</si>
  <si>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</si>
  <si>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</si>
  <si>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</si>
  <si>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</si>
  <si>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</si>
  <si>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</si>
  <si>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</si>
  <si>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</si>
  <si>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</si>
  <si>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</si>
  <si>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</si>
  <si>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</si>
  <si>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</si>
  <si>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</si>
  <si>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</si>
  <si>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</si>
  <si>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</si>
  <si>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</si>
  <si>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</si>
  <si>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</si>
  <si>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</si>
  <si>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</si>
  <si>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</si>
  <si>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</si>
  <si>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</si>
  <si>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</si>
  <si>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</si>
  <si>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</si>
  <si>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</si>
  <si>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</si>
  <si>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</si>
  <si>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</si>
  <si>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</si>
  <si>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</si>
  <si>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</si>
  <si>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</si>
  <si>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</si>
  <si>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</si>
  <si>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</si>
  <si>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</si>
  <si>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</si>
  <si>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</si>
  <si>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</si>
  <si>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</si>
  <si>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</si>
  <si>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</si>
  <si>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</si>
  <si>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</si>
  <si>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</si>
  <si>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</si>
  <si>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</si>
  <si>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</si>
  <si>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</si>
  <si>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</si>
  <si>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</si>
  <si>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</si>
  <si>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</si>
  <si>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</si>
  <si>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</si>
  <si>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</si>
  <si>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</si>
  <si>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</si>
  <si>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</si>
  <si>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</si>
  <si>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</si>
  <si>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</si>
  <si>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</si>
  <si>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</si>
  <si>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</si>
  <si>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</si>
  <si>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</si>
  <si>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</si>
  <si>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</si>
  <si>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</si>
  <si>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</si>
  <si>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</si>
  <si>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</si>
  <si>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</si>
  <si>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</si>
  <si>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</si>
  <si>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</si>
  <si>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</si>
  <si>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</si>
  <si>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</si>
  <si>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</si>
  <si>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</si>
  <si>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</si>
  <si>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</si>
  <si>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</si>
  <si>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</si>
  <si>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</si>
  <si>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</si>
  <si>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</si>
  <si>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</si>
  <si>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</si>
  <si>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</si>
  <si>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</si>
  <si>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</si>
  <si>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</si>
  <si>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</si>
  <si>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</si>
  <si>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</si>
  <si>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</si>
  <si>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</si>
  <si>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</si>
  <si>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</si>
  <si>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</si>
  <si>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</si>
  <si>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</si>
  <si>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</si>
  <si>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</si>
  <si>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</si>
  <si>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</si>
  <si>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</si>
  <si>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</si>
  <si>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</si>
  <si>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</si>
  <si>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</si>
  <si>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</si>
  <si>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</si>
  <si>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</si>
  <si>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</si>
  <si>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</si>
  <si>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</si>
  <si>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</si>
  <si>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</si>
  <si>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</si>
  <si>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</si>
  <si>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</si>
  <si>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</si>
  <si>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</si>
  <si>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</si>
  <si>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</si>
  <si>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</si>
  <si>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</si>
  <si>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</si>
  <si>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</si>
  <si>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</si>
  <si>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</si>
  <si>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</si>
  <si>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</si>
  <si>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</si>
  <si>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</si>
  <si>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</si>
  <si>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</si>
  <si>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</si>
  <si>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</si>
  <si>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</si>
  <si>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</si>
  <si>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</si>
  <si>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</si>
  <si>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</si>
  <si>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</si>
  <si>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</si>
  <si>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</si>
  <si>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</si>
  <si>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</si>
  <si>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</si>
  <si>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</si>
  <si>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</si>
  <si>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</si>
  <si>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</si>
  <si>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</si>
  <si>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</si>
  <si>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</si>
  <si>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</si>
  <si>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</si>
  <si>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</si>
  <si>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</si>
  <si>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</si>
  <si>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</si>
  <si>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</si>
  <si>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</si>
  <si>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</si>
  <si>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</si>
  <si>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</si>
  <si>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</si>
  <si>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</si>
  <si>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</si>
  <si>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</si>
  <si>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</si>
  <si>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</si>
  <si>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</si>
  <si>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</si>
  <si>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</si>
  <si>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</si>
  <si>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</si>
  <si>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</si>
  <si>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</si>
  <si>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</si>
  <si>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</si>
  <si>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24009</t>
  </si>
  <si>
    <t>BERTEM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</si>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</sst>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82865.774219133484</c:v>
                </c:pt>
                <c:pt idx="1">
                  <c:v>19269.509286785029</c:v>
                </c:pt>
                <c:pt idx="2">
                  <c:v>526.56700000000001</c:v>
                </c:pt>
                <c:pt idx="3">
                  <c:v>1473.0604808913497</c:v>
                </c:pt>
                <c:pt idx="4">
                  <c:v>2330.126027887638</c:v>
                </c:pt>
                <c:pt idx="5">
                  <c:v>218671.5806124355</c:v>
                </c:pt>
                <c:pt idx="6">
                  <c:v>3353.3294860754686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82865.774219133484</c:v>
                </c:pt>
                <c:pt idx="1">
                  <c:v>19269.509286785029</c:v>
                </c:pt>
                <c:pt idx="2">
                  <c:v>526.56700000000001</c:v>
                </c:pt>
                <c:pt idx="3">
                  <c:v>1473.0604808913497</c:v>
                </c:pt>
                <c:pt idx="4">
                  <c:v>2330.126027887638</c:v>
                </c:pt>
                <c:pt idx="5">
                  <c:v>218671.5806124355</c:v>
                </c:pt>
                <c:pt idx="6">
                  <c:v>3353.3294860754686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17034.386928577376</c:v>
                </c:pt>
                <c:pt idx="2">
                  <c:v>3519.2948864717077</c:v>
                </c:pt>
                <c:pt idx="3">
                  <c:v>107.16140724404457</c:v>
                </c:pt>
                <c:pt idx="4">
                  <c:v>362.54222114500669</c:v>
                </c:pt>
                <c:pt idx="5">
                  <c:v>459.36578208769868</c:v>
                </c:pt>
                <c:pt idx="6">
                  <c:v>54711.112005315452</c:v>
                </c:pt>
                <c:pt idx="7">
                  <c:v>847.22058374539336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17034.386928577376</c:v>
                </c:pt>
                <c:pt idx="2">
                  <c:v>3519.2948864717077</c:v>
                </c:pt>
                <c:pt idx="3">
                  <c:v>107.16140724404457</c:v>
                </c:pt>
                <c:pt idx="4">
                  <c:v>362.54222114500669</c:v>
                </c:pt>
                <c:pt idx="5">
                  <c:v>459.36578208769868</c:v>
                </c:pt>
                <c:pt idx="6">
                  <c:v>54711.112005315452</c:v>
                </c:pt>
                <c:pt idx="7">
                  <c:v>847.22058374539336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24009</v>
      </c>
      <c r="B6" s="415"/>
      <c r="C6" s="416"/>
    </row>
    <row r="7" spans="1:7" s="413" customFormat="1" ht="15.75" customHeight="1">
      <c r="A7" s="417" t="str">
        <f>txtMunicipality</f>
        <v>BERTEM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8324.6890244187853</v>
      </c>
      <c r="D10" s="1013">
        <f ca="1">tertiair!C16</f>
        <v>0</v>
      </c>
      <c r="E10" s="1013">
        <f ca="1">tertiair!D16</f>
        <v>7467.0475365255124</v>
      </c>
      <c r="F10" s="1013">
        <f>tertiair!E16</f>
        <v>66.016690857176968</v>
      </c>
      <c r="G10" s="1013">
        <f ca="1">tertiair!F16</f>
        <v>1531.6549251161223</v>
      </c>
      <c r="H10" s="1013">
        <f>tertiair!G16</f>
        <v>0</v>
      </c>
      <c r="I10" s="1013">
        <f>tertiair!H16</f>
        <v>0</v>
      </c>
      <c r="J10" s="1013">
        <f>tertiair!I16</f>
        <v>0</v>
      </c>
      <c r="K10" s="1013">
        <f>tertiair!J16</f>
        <v>6.0493367912888805E-2</v>
      </c>
      <c r="L10" s="1013">
        <f>tertiair!K16</f>
        <v>0</v>
      </c>
      <c r="M10" s="1013">
        <f ca="1">tertiair!L16</f>
        <v>0</v>
      </c>
      <c r="N10" s="1013">
        <f>tertiair!M16</f>
        <v>0</v>
      </c>
      <c r="O10" s="1013">
        <f ca="1">tertiair!N16</f>
        <v>2385.9776164995201</v>
      </c>
      <c r="P10" s="1013">
        <f>tertiair!O16</f>
        <v>1.5633333333333335</v>
      </c>
      <c r="Q10" s="1014">
        <f>tertiair!P16</f>
        <v>19.066666666666666</v>
      </c>
      <c r="R10" s="700">
        <f ca="1">SUM(C10:Q10)</f>
        <v>19796.076286785028</v>
      </c>
      <c r="S10" s="67"/>
    </row>
    <row r="11" spans="1:19" s="473" customFormat="1">
      <c r="A11" s="809" t="s">
        <v>225</v>
      </c>
      <c r="B11" s="814"/>
      <c r="C11" s="1013">
        <f>huishoudens!B8</f>
        <v>16348.70844142623</v>
      </c>
      <c r="D11" s="1013">
        <f>huishoudens!C8</f>
        <v>0</v>
      </c>
      <c r="E11" s="1013">
        <f>huishoudens!D8</f>
        <v>38323.554994804945</v>
      </c>
      <c r="F11" s="1013">
        <f>huishoudens!E8</f>
        <v>1891.015453103603</v>
      </c>
      <c r="G11" s="1013">
        <f>huishoudens!F8</f>
        <v>20736.517599836487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5111.1377299622263</v>
      </c>
      <c r="P11" s="1013">
        <f>huishoudens!O8</f>
        <v>168.84</v>
      </c>
      <c r="Q11" s="1014">
        <f>huishoudens!P8</f>
        <v>286</v>
      </c>
      <c r="R11" s="700">
        <f>SUM(C11:Q11)</f>
        <v>82865.774219133484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766.61317546252235</v>
      </c>
      <c r="D13" s="1013">
        <f>industrie!C18</f>
        <v>0</v>
      </c>
      <c r="E13" s="1013">
        <f>industrie!D18</f>
        <v>864.60321928083636</v>
      </c>
      <c r="F13" s="1013">
        <f>industrie!E18</f>
        <v>128.07959529782141</v>
      </c>
      <c r="G13" s="1013">
        <f>industrie!F18</f>
        <v>371.60505580180029</v>
      </c>
      <c r="H13" s="1013">
        <f>industrie!G18</f>
        <v>0</v>
      </c>
      <c r="I13" s="1013">
        <f>industrie!H18</f>
        <v>0</v>
      </c>
      <c r="J13" s="1013">
        <f>industrie!I18</f>
        <v>0</v>
      </c>
      <c r="K13" s="1013">
        <f>industrie!J18</f>
        <v>1.1588138179435545</v>
      </c>
      <c r="L13" s="1013">
        <f>industrie!K18</f>
        <v>0</v>
      </c>
      <c r="M13" s="1013">
        <f>industrie!L18</f>
        <v>0</v>
      </c>
      <c r="N13" s="1013">
        <f>industrie!M18</f>
        <v>0</v>
      </c>
      <c r="O13" s="1013">
        <f>industrie!N18</f>
        <v>198.06616822671427</v>
      </c>
      <c r="P13" s="1013">
        <f>industrie!O18</f>
        <v>0</v>
      </c>
      <c r="Q13" s="1014">
        <f>industrie!P18</f>
        <v>0</v>
      </c>
      <c r="R13" s="700">
        <f>SUM(C13:Q13)</f>
        <v>2330.126027887638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25440.010641307541</v>
      </c>
      <c r="D16" s="732">
        <f t="shared" ref="D16:R16" ca="1" si="0">SUM(D9:D15)</f>
        <v>0</v>
      </c>
      <c r="E16" s="732">
        <f t="shared" ca="1" si="0"/>
        <v>46655.205750611291</v>
      </c>
      <c r="F16" s="732">
        <f t="shared" si="0"/>
        <v>2085.1117392586016</v>
      </c>
      <c r="G16" s="732">
        <f t="shared" ca="1" si="0"/>
        <v>22639.777580754409</v>
      </c>
      <c r="H16" s="732">
        <f t="shared" si="0"/>
        <v>0</v>
      </c>
      <c r="I16" s="732">
        <f t="shared" si="0"/>
        <v>0</v>
      </c>
      <c r="J16" s="732">
        <f t="shared" si="0"/>
        <v>0</v>
      </c>
      <c r="K16" s="732">
        <f t="shared" si="0"/>
        <v>1.2193071858564433</v>
      </c>
      <c r="L16" s="732">
        <f t="shared" si="0"/>
        <v>0</v>
      </c>
      <c r="M16" s="732">
        <f t="shared" ca="1" si="0"/>
        <v>0</v>
      </c>
      <c r="N16" s="732">
        <f t="shared" si="0"/>
        <v>0</v>
      </c>
      <c r="O16" s="732">
        <f t="shared" ca="1" si="0"/>
        <v>7695.181514688461</v>
      </c>
      <c r="P16" s="732">
        <f t="shared" si="0"/>
        <v>170.40333333333334</v>
      </c>
      <c r="Q16" s="732">
        <f t="shared" si="0"/>
        <v>305.06666666666666</v>
      </c>
      <c r="R16" s="732">
        <f t="shared" ca="1" si="0"/>
        <v>104991.97653380616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3173.1108005445444</v>
      </c>
      <c r="I19" s="1013">
        <f>transport!H54</f>
        <v>0</v>
      </c>
      <c r="J19" s="1013">
        <f>transport!I54</f>
        <v>0</v>
      </c>
      <c r="K19" s="1013">
        <f>transport!J54</f>
        <v>0</v>
      </c>
      <c r="L19" s="1013">
        <f>transport!K54</f>
        <v>0</v>
      </c>
      <c r="M19" s="1013">
        <f>transport!L54</f>
        <v>0</v>
      </c>
      <c r="N19" s="1013">
        <f>transport!M54</f>
        <v>180.2186855309244</v>
      </c>
      <c r="O19" s="1013">
        <f>transport!N54</f>
        <v>0</v>
      </c>
      <c r="P19" s="1013">
        <f>transport!O54</f>
        <v>0</v>
      </c>
      <c r="Q19" s="1014">
        <f>transport!P54</f>
        <v>0</v>
      </c>
      <c r="R19" s="700">
        <f>SUM(C19:Q19)</f>
        <v>3353.3294860754686</v>
      </c>
      <c r="S19" s="67"/>
    </row>
    <row r="20" spans="1:19" s="473" customFormat="1">
      <c r="A20" s="809" t="s">
        <v>307</v>
      </c>
      <c r="B20" s="814"/>
      <c r="C20" s="1013">
        <f>transport!B14</f>
        <v>98.572386032568559</v>
      </c>
      <c r="D20" s="1013">
        <f>transport!C14</f>
        <v>0</v>
      </c>
      <c r="E20" s="1013">
        <f>transport!D14</f>
        <v>334.79832710846955</v>
      </c>
      <c r="F20" s="1013">
        <f>transport!E14</f>
        <v>523.54138723242761</v>
      </c>
      <c r="G20" s="1013">
        <f>transport!F14</f>
        <v>0</v>
      </c>
      <c r="H20" s="1013">
        <f>transport!G14</f>
        <v>167850.64179240656</v>
      </c>
      <c r="I20" s="1013">
        <f>transport!H14</f>
        <v>38909.46614039773</v>
      </c>
      <c r="J20" s="1013">
        <f>transport!I14</f>
        <v>0</v>
      </c>
      <c r="K20" s="1013">
        <f>transport!J14</f>
        <v>0</v>
      </c>
      <c r="L20" s="1013">
        <f>transport!K14</f>
        <v>0</v>
      </c>
      <c r="M20" s="1013">
        <f>transport!L14</f>
        <v>0</v>
      </c>
      <c r="N20" s="1013">
        <f>transport!M14</f>
        <v>10954.560579257726</v>
      </c>
      <c r="O20" s="1013">
        <f>transport!N14</f>
        <v>0</v>
      </c>
      <c r="P20" s="1013">
        <f>transport!O14</f>
        <v>0</v>
      </c>
      <c r="Q20" s="1014">
        <f>transport!P14</f>
        <v>0</v>
      </c>
      <c r="R20" s="700">
        <f>SUM(C20:Q20)</f>
        <v>218671.5806124355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98.572386032568559</v>
      </c>
      <c r="D22" s="812">
        <f t="shared" ref="D22:R22" si="1">SUM(D18:D21)</f>
        <v>0</v>
      </c>
      <c r="E22" s="812">
        <f t="shared" si="1"/>
        <v>334.79832710846955</v>
      </c>
      <c r="F22" s="812">
        <f t="shared" si="1"/>
        <v>523.54138723242761</v>
      </c>
      <c r="G22" s="812">
        <f t="shared" si="1"/>
        <v>0</v>
      </c>
      <c r="H22" s="812">
        <f t="shared" si="1"/>
        <v>171023.75259295112</v>
      </c>
      <c r="I22" s="812">
        <f t="shared" si="1"/>
        <v>38909.46614039773</v>
      </c>
      <c r="J22" s="812">
        <f t="shared" si="1"/>
        <v>0</v>
      </c>
      <c r="K22" s="812">
        <f t="shared" si="1"/>
        <v>0</v>
      </c>
      <c r="L22" s="812">
        <f t="shared" si="1"/>
        <v>0</v>
      </c>
      <c r="M22" s="812">
        <f t="shared" si="1"/>
        <v>0</v>
      </c>
      <c r="N22" s="812">
        <f t="shared" si="1"/>
        <v>11134.779264788651</v>
      </c>
      <c r="O22" s="812">
        <f t="shared" si="1"/>
        <v>0</v>
      </c>
      <c r="P22" s="812">
        <f t="shared" si="1"/>
        <v>0</v>
      </c>
      <c r="Q22" s="812">
        <f t="shared" si="1"/>
        <v>0</v>
      </c>
      <c r="R22" s="812">
        <f t="shared" si="1"/>
        <v>222024.91009851097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220.24564642463591</v>
      </c>
      <c r="D24" s="1013">
        <f>+landbouw!C8</f>
        <v>0</v>
      </c>
      <c r="E24" s="1013">
        <f>+landbouw!D8</f>
        <v>296.90081631793407</v>
      </c>
      <c r="F24" s="1013">
        <f>+landbouw!E8</f>
        <v>6.4736922562691781</v>
      </c>
      <c r="G24" s="1013">
        <f>+landbouw!F8</f>
        <v>917.53146155497973</v>
      </c>
      <c r="H24" s="1013">
        <f>+landbouw!G8</f>
        <v>0</v>
      </c>
      <c r="I24" s="1013">
        <f>+landbouw!H8</f>
        <v>0</v>
      </c>
      <c r="J24" s="1013">
        <f>+landbouw!I8</f>
        <v>0</v>
      </c>
      <c r="K24" s="1013">
        <f>+landbouw!J8</f>
        <v>31.90886433753095</v>
      </c>
      <c r="L24" s="1013">
        <f>+landbouw!K8</f>
        <v>0</v>
      </c>
      <c r="M24" s="1013">
        <f>+landbouw!L8</f>
        <v>0</v>
      </c>
      <c r="N24" s="1013">
        <f>+landbouw!M8</f>
        <v>0</v>
      </c>
      <c r="O24" s="1013">
        <f>+landbouw!N8</f>
        <v>0</v>
      </c>
      <c r="P24" s="1013">
        <f>+landbouw!O8</f>
        <v>0</v>
      </c>
      <c r="Q24" s="1014">
        <f>+landbouw!P8</f>
        <v>0</v>
      </c>
      <c r="R24" s="700">
        <f>SUM(C24:Q24)</f>
        <v>1473.0604808913497</v>
      </c>
      <c r="S24" s="67"/>
    </row>
    <row r="25" spans="1:19" s="473" customFormat="1" ht="15" thickBot="1">
      <c r="A25" s="831" t="s">
        <v>836</v>
      </c>
      <c r="B25" s="1016"/>
      <c r="C25" s="1017">
        <f>IF(Onbekend_ele_kWh="---",0,Onbekend_ele_kWh)/1000+IF(REST_rest_ele_kWh="---",0,REST_rest_ele_kWh)/1000</f>
        <v>774.51050303877298</v>
      </c>
      <c r="D25" s="1017"/>
      <c r="E25" s="1017">
        <f>IF(onbekend_gas_kWh="---",0,onbekend_gas_kWh)/1000+IF(REST_rest_gas_kWh="---",0,REST_rest_gas_kWh)/1000</f>
        <v>1039.3410082273201</v>
      </c>
      <c r="F25" s="1017"/>
      <c r="G25" s="1017"/>
      <c r="H25" s="1017"/>
      <c r="I25" s="1017"/>
      <c r="J25" s="1017"/>
      <c r="K25" s="1017"/>
      <c r="L25" s="1017"/>
      <c r="M25" s="1017"/>
      <c r="N25" s="1017"/>
      <c r="O25" s="1017"/>
      <c r="P25" s="1017"/>
      <c r="Q25" s="1018"/>
      <c r="R25" s="700">
        <f>SUM(C25:Q25)</f>
        <v>1813.851511266093</v>
      </c>
      <c r="S25" s="67"/>
    </row>
    <row r="26" spans="1:19" s="473" customFormat="1" ht="15.75" thickBot="1">
      <c r="A26" s="705" t="s">
        <v>837</v>
      </c>
      <c r="B26" s="817"/>
      <c r="C26" s="812">
        <f>SUM(C24:C25)</f>
        <v>994.75614946340886</v>
      </c>
      <c r="D26" s="812">
        <f t="shared" ref="D26:R26" si="2">SUM(D24:D25)</f>
        <v>0</v>
      </c>
      <c r="E26" s="812">
        <f t="shared" si="2"/>
        <v>1336.2418245452541</v>
      </c>
      <c r="F26" s="812">
        <f t="shared" si="2"/>
        <v>6.4736922562691781</v>
      </c>
      <c r="G26" s="812">
        <f t="shared" si="2"/>
        <v>917.53146155497973</v>
      </c>
      <c r="H26" s="812">
        <f t="shared" si="2"/>
        <v>0</v>
      </c>
      <c r="I26" s="812">
        <f t="shared" si="2"/>
        <v>0</v>
      </c>
      <c r="J26" s="812">
        <f t="shared" si="2"/>
        <v>0</v>
      </c>
      <c r="K26" s="812">
        <f t="shared" si="2"/>
        <v>31.90886433753095</v>
      </c>
      <c r="L26" s="812">
        <f t="shared" si="2"/>
        <v>0</v>
      </c>
      <c r="M26" s="812">
        <f t="shared" si="2"/>
        <v>0</v>
      </c>
      <c r="N26" s="812">
        <f t="shared" si="2"/>
        <v>0</v>
      </c>
      <c r="O26" s="812">
        <f t="shared" si="2"/>
        <v>0</v>
      </c>
      <c r="P26" s="812">
        <f t="shared" si="2"/>
        <v>0</v>
      </c>
      <c r="Q26" s="812">
        <f t="shared" si="2"/>
        <v>0</v>
      </c>
      <c r="R26" s="812">
        <f t="shared" si="2"/>
        <v>3286.9119921574429</v>
      </c>
      <c r="S26" s="67"/>
    </row>
    <row r="27" spans="1:19" s="473" customFormat="1" ht="17.25" thickTop="1" thickBot="1">
      <c r="A27" s="706" t="s">
        <v>116</v>
      </c>
      <c r="B27" s="805"/>
      <c r="C27" s="707">
        <f ca="1">C22+C16+C26</f>
        <v>26533.339176803518</v>
      </c>
      <c r="D27" s="707">
        <f t="shared" ref="D27:R27" ca="1" si="3">D22+D16+D26</f>
        <v>0</v>
      </c>
      <c r="E27" s="707">
        <f t="shared" ca="1" si="3"/>
        <v>48326.245902265015</v>
      </c>
      <c r="F27" s="707">
        <f t="shared" si="3"/>
        <v>2615.1268187472983</v>
      </c>
      <c r="G27" s="707">
        <f t="shared" ca="1" si="3"/>
        <v>23557.309042309389</v>
      </c>
      <c r="H27" s="707">
        <f t="shared" si="3"/>
        <v>171023.75259295112</v>
      </c>
      <c r="I27" s="707">
        <f t="shared" si="3"/>
        <v>38909.46614039773</v>
      </c>
      <c r="J27" s="707">
        <f t="shared" si="3"/>
        <v>0</v>
      </c>
      <c r="K27" s="707">
        <f t="shared" si="3"/>
        <v>33.128171523387394</v>
      </c>
      <c r="L27" s="707">
        <f t="shared" si="3"/>
        <v>0</v>
      </c>
      <c r="M27" s="707">
        <f t="shared" ca="1" si="3"/>
        <v>0</v>
      </c>
      <c r="N27" s="707">
        <f t="shared" si="3"/>
        <v>11134.779264788651</v>
      </c>
      <c r="O27" s="707">
        <f t="shared" ca="1" si="3"/>
        <v>7695.181514688461</v>
      </c>
      <c r="P27" s="707">
        <f t="shared" si="3"/>
        <v>170.40333333333334</v>
      </c>
      <c r="Q27" s="707">
        <f t="shared" si="3"/>
        <v>305.06666666666666</v>
      </c>
      <c r="R27" s="707">
        <f t="shared" ca="1" si="3"/>
        <v>330303.79862447456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1694.1536228547736</v>
      </c>
      <c r="D40" s="1013">
        <f ca="1">tertiair!C20</f>
        <v>0</v>
      </c>
      <c r="E40" s="1013">
        <f ca="1">tertiair!D20</f>
        <v>1508.3436023781537</v>
      </c>
      <c r="F40" s="1013">
        <f>tertiair!E20</f>
        <v>14.985788824579172</v>
      </c>
      <c r="G40" s="1013">
        <f ca="1">tertiair!F20</f>
        <v>408.95186500600465</v>
      </c>
      <c r="H40" s="1013">
        <f>tertiair!G20</f>
        <v>0</v>
      </c>
      <c r="I40" s="1013">
        <f>tertiair!H20</f>
        <v>0</v>
      </c>
      <c r="J40" s="1013">
        <f>tertiair!I20</f>
        <v>0</v>
      </c>
      <c r="K40" s="1013">
        <f>tertiair!J20</f>
        <v>2.1414652241162634E-2</v>
      </c>
      <c r="L40" s="1013">
        <f>tertiair!K20</f>
        <v>0</v>
      </c>
      <c r="M40" s="1013">
        <f ca="1">tertiair!L20</f>
        <v>0</v>
      </c>
      <c r="N40" s="1013">
        <f>tertiair!M20</f>
        <v>0</v>
      </c>
      <c r="O40" s="1013">
        <f ca="1">tertiair!N20</f>
        <v>0</v>
      </c>
      <c r="P40" s="1013">
        <f>tertiair!O20</f>
        <v>0</v>
      </c>
      <c r="Q40" s="774">
        <f>tertiair!P20</f>
        <v>0</v>
      </c>
      <c r="R40" s="850">
        <f t="shared" ca="1" si="4"/>
        <v>3626.4562937157521</v>
      </c>
    </row>
    <row r="41" spans="1:18">
      <c r="A41" s="822" t="s">
        <v>225</v>
      </c>
      <c r="B41" s="829"/>
      <c r="C41" s="1013">
        <f ca="1">huishoudens!B12</f>
        <v>3327.1181126159167</v>
      </c>
      <c r="D41" s="1013">
        <f ca="1">huishoudens!C12</f>
        <v>0</v>
      </c>
      <c r="E41" s="1013">
        <f>huishoudens!D12</f>
        <v>7741.3581089505997</v>
      </c>
      <c r="F41" s="1013">
        <f>huishoudens!E12</f>
        <v>429.26050785451793</v>
      </c>
      <c r="G41" s="1013">
        <f>huishoudens!F12</f>
        <v>5536.6501991563418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17034.386928577376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156.01309366973157</v>
      </c>
      <c r="D43" s="1013">
        <f ca="1">industrie!C22</f>
        <v>0</v>
      </c>
      <c r="E43" s="1013">
        <f>industrie!D22</f>
        <v>174.64985029472896</v>
      </c>
      <c r="F43" s="1013">
        <f>industrie!E22</f>
        <v>29.074068132605461</v>
      </c>
      <c r="G43" s="1013">
        <f>industrie!F22</f>
        <v>99.218549899080685</v>
      </c>
      <c r="H43" s="1013">
        <f>industrie!G22</f>
        <v>0</v>
      </c>
      <c r="I43" s="1013">
        <f>industrie!H22</f>
        <v>0</v>
      </c>
      <c r="J43" s="1013">
        <f>industrie!I22</f>
        <v>0</v>
      </c>
      <c r="K43" s="1013">
        <f>industrie!J22</f>
        <v>0.41022009155201827</v>
      </c>
      <c r="L43" s="1013">
        <f>industrie!K22</f>
        <v>0</v>
      </c>
      <c r="M43" s="1013">
        <f>industrie!L22</f>
        <v>0</v>
      </c>
      <c r="N43" s="1013">
        <f>industrie!M22</f>
        <v>0</v>
      </c>
      <c r="O43" s="1013">
        <f>industrie!N22</f>
        <v>0</v>
      </c>
      <c r="P43" s="1013">
        <f>industrie!O22</f>
        <v>0</v>
      </c>
      <c r="Q43" s="774">
        <f>industrie!P22</f>
        <v>0</v>
      </c>
      <c r="R43" s="849">
        <f t="shared" ca="1" si="4"/>
        <v>459.36578208769868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5177.2848291404216</v>
      </c>
      <c r="D46" s="732">
        <f t="shared" ref="D46:Q46" ca="1" si="5">SUM(D39:D45)</f>
        <v>0</v>
      </c>
      <c r="E46" s="732">
        <f t="shared" ca="1" si="5"/>
        <v>9424.3515616234818</v>
      </c>
      <c r="F46" s="732">
        <f t="shared" si="5"/>
        <v>473.32036481170258</v>
      </c>
      <c r="G46" s="732">
        <f t="shared" ca="1" si="5"/>
        <v>6044.8206140614266</v>
      </c>
      <c r="H46" s="732">
        <f t="shared" si="5"/>
        <v>0</v>
      </c>
      <c r="I46" s="732">
        <f t="shared" si="5"/>
        <v>0</v>
      </c>
      <c r="J46" s="732">
        <f t="shared" si="5"/>
        <v>0</v>
      </c>
      <c r="K46" s="732">
        <f t="shared" si="5"/>
        <v>0.4316347437931809</v>
      </c>
      <c r="L46" s="732">
        <f t="shared" si="5"/>
        <v>0</v>
      </c>
      <c r="M46" s="732">
        <f t="shared" ca="1" si="5"/>
        <v>0</v>
      </c>
      <c r="N46" s="732">
        <f t="shared" si="5"/>
        <v>0</v>
      </c>
      <c r="O46" s="732">
        <f t="shared" ca="1" si="5"/>
        <v>0</v>
      </c>
      <c r="P46" s="732">
        <f t="shared" si="5"/>
        <v>0</v>
      </c>
      <c r="Q46" s="732">
        <f t="shared" si="5"/>
        <v>0</v>
      </c>
      <c r="R46" s="732">
        <f ca="1">SUM(R39:R45)</f>
        <v>21120.209004380828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847.22058374539336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847.22058374539336</v>
      </c>
    </row>
    <row r="50" spans="1:18">
      <c r="A50" s="825" t="s">
        <v>307</v>
      </c>
      <c r="B50" s="835"/>
      <c r="C50" s="703">
        <f ca="1">transport!B18</f>
        <v>20.060420806190379</v>
      </c>
      <c r="D50" s="703">
        <f>transport!C18</f>
        <v>0</v>
      </c>
      <c r="E50" s="703">
        <f>transport!D18</f>
        <v>67.629262075910859</v>
      </c>
      <c r="F50" s="703">
        <f>transport!E18</f>
        <v>118.84389490176108</v>
      </c>
      <c r="G50" s="703">
        <f>transport!F18</f>
        <v>0</v>
      </c>
      <c r="H50" s="703">
        <f>transport!G18</f>
        <v>44816.121358572556</v>
      </c>
      <c r="I50" s="703">
        <f>transport!H18</f>
        <v>9688.4570689590346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54711.112005315452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20.060420806190379</v>
      </c>
      <c r="D52" s="732">
        <f t="shared" ref="D52:Q52" ca="1" si="6">SUM(D48:D51)</f>
        <v>0</v>
      </c>
      <c r="E52" s="732">
        <f t="shared" si="6"/>
        <v>67.629262075910859</v>
      </c>
      <c r="F52" s="732">
        <f t="shared" si="6"/>
        <v>118.84389490176108</v>
      </c>
      <c r="G52" s="732">
        <f t="shared" si="6"/>
        <v>0</v>
      </c>
      <c r="H52" s="732">
        <f t="shared" si="6"/>
        <v>45663.341942317951</v>
      </c>
      <c r="I52" s="732">
        <f t="shared" si="6"/>
        <v>9688.4570689590346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55558.332589060847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44.822089895945354</v>
      </c>
      <c r="D54" s="703">
        <f ca="1">+landbouw!C12</f>
        <v>0</v>
      </c>
      <c r="E54" s="703">
        <f>+landbouw!D12</f>
        <v>59.973964896222689</v>
      </c>
      <c r="F54" s="703">
        <f>+landbouw!E12</f>
        <v>1.4695281421731035</v>
      </c>
      <c r="G54" s="703">
        <f>+landbouw!F12</f>
        <v>244.9809002351796</v>
      </c>
      <c r="H54" s="703">
        <f>+landbouw!G12</f>
        <v>0</v>
      </c>
      <c r="I54" s="703">
        <f>+landbouw!H12</f>
        <v>0</v>
      </c>
      <c r="J54" s="703">
        <f>+landbouw!I12</f>
        <v>0</v>
      </c>
      <c r="K54" s="703">
        <f>+landbouw!J12</f>
        <v>11.295737975485956</v>
      </c>
      <c r="L54" s="703">
        <f>+landbouw!K12</f>
        <v>0</v>
      </c>
      <c r="M54" s="703">
        <f>+landbouw!L12</f>
        <v>0</v>
      </c>
      <c r="N54" s="703">
        <f>+landbouw!M12</f>
        <v>0</v>
      </c>
      <c r="O54" s="703">
        <f>+landbouw!N12</f>
        <v>0</v>
      </c>
      <c r="P54" s="703">
        <f>+landbouw!O12</f>
        <v>0</v>
      </c>
      <c r="Q54" s="704">
        <f>+landbouw!P12</f>
        <v>0</v>
      </c>
      <c r="R54" s="731">
        <f ca="1">SUM(C54:Q54)</f>
        <v>362.54222114500669</v>
      </c>
    </row>
    <row r="55" spans="1:18" ht="15" thickBot="1">
      <c r="A55" s="825" t="s">
        <v>836</v>
      </c>
      <c r="B55" s="835"/>
      <c r="C55" s="703">
        <f ca="1">C25*'EF ele_warmte'!B12</f>
        <v>157.62027516142822</v>
      </c>
      <c r="D55" s="703"/>
      <c r="E55" s="703">
        <f>E25*EF_CO2_aardgas</f>
        <v>209.94688366191869</v>
      </c>
      <c r="F55" s="703"/>
      <c r="G55" s="703"/>
      <c r="H55" s="703"/>
      <c r="I55" s="703"/>
      <c r="J55" s="703"/>
      <c r="K55" s="703"/>
      <c r="L55" s="703"/>
      <c r="M55" s="703"/>
      <c r="N55" s="703"/>
      <c r="O55" s="703"/>
      <c r="P55" s="703"/>
      <c r="Q55" s="704"/>
      <c r="R55" s="731">
        <f ca="1">SUM(C55:Q55)</f>
        <v>367.56715882334692</v>
      </c>
    </row>
    <row r="56" spans="1:18" ht="15.75" thickBot="1">
      <c r="A56" s="823" t="s">
        <v>837</v>
      </c>
      <c r="B56" s="836"/>
      <c r="C56" s="732">
        <f ca="1">SUM(C54:C55)</f>
        <v>202.44236505737359</v>
      </c>
      <c r="D56" s="732">
        <f t="shared" ref="D56:Q56" ca="1" si="7">SUM(D54:D55)</f>
        <v>0</v>
      </c>
      <c r="E56" s="732">
        <f t="shared" si="7"/>
        <v>269.92084855814136</v>
      </c>
      <c r="F56" s="732">
        <f t="shared" si="7"/>
        <v>1.4695281421731035</v>
      </c>
      <c r="G56" s="732">
        <f t="shared" si="7"/>
        <v>244.9809002351796</v>
      </c>
      <c r="H56" s="732">
        <f t="shared" si="7"/>
        <v>0</v>
      </c>
      <c r="I56" s="732">
        <f t="shared" si="7"/>
        <v>0</v>
      </c>
      <c r="J56" s="732">
        <f t="shared" si="7"/>
        <v>0</v>
      </c>
      <c r="K56" s="732">
        <f t="shared" si="7"/>
        <v>11.295737975485956</v>
      </c>
      <c r="L56" s="732">
        <f t="shared" si="7"/>
        <v>0</v>
      </c>
      <c r="M56" s="732">
        <f t="shared" si="7"/>
        <v>0</v>
      </c>
      <c r="N56" s="732">
        <f t="shared" si="7"/>
        <v>0</v>
      </c>
      <c r="O56" s="732">
        <f t="shared" si="7"/>
        <v>0</v>
      </c>
      <c r="P56" s="732">
        <f t="shared" si="7"/>
        <v>0</v>
      </c>
      <c r="Q56" s="733">
        <f t="shared" si="7"/>
        <v>0</v>
      </c>
      <c r="R56" s="734">
        <f ca="1">SUM(R54:R55)</f>
        <v>730.10937996835355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5399.7876150039856</v>
      </c>
      <c r="D61" s="740">
        <f t="shared" ref="D61:Q61" ca="1" si="8">D46+D52+D56</f>
        <v>0</v>
      </c>
      <c r="E61" s="740">
        <f t="shared" ca="1" si="8"/>
        <v>9761.9016722575343</v>
      </c>
      <c r="F61" s="740">
        <f t="shared" si="8"/>
        <v>593.6337878556368</v>
      </c>
      <c r="G61" s="740">
        <f t="shared" ca="1" si="8"/>
        <v>6289.801514296606</v>
      </c>
      <c r="H61" s="740">
        <f t="shared" si="8"/>
        <v>45663.341942317951</v>
      </c>
      <c r="I61" s="740">
        <f t="shared" si="8"/>
        <v>9688.4570689590346</v>
      </c>
      <c r="J61" s="740">
        <f t="shared" si="8"/>
        <v>0</v>
      </c>
      <c r="K61" s="740">
        <f t="shared" si="8"/>
        <v>11.727372719279137</v>
      </c>
      <c r="L61" s="740">
        <f t="shared" si="8"/>
        <v>0</v>
      </c>
      <c r="M61" s="740">
        <f t="shared" ca="1" si="8"/>
        <v>0</v>
      </c>
      <c r="N61" s="740">
        <f t="shared" si="8"/>
        <v>0</v>
      </c>
      <c r="O61" s="740">
        <f t="shared" ca="1" si="8"/>
        <v>0</v>
      </c>
      <c r="P61" s="740">
        <f t="shared" si="8"/>
        <v>0</v>
      </c>
      <c r="Q61" s="740">
        <f t="shared" si="8"/>
        <v>0</v>
      </c>
      <c r="R61" s="740">
        <f ca="1">R46+R52+R56</f>
        <v>77408.65097341004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0.20350953866088181</v>
      </c>
      <c r="D63" s="781">
        <f t="shared" ca="1" si="9"/>
        <v>0</v>
      </c>
      <c r="E63" s="1024">
        <f t="shared" ca="1" si="9"/>
        <v>0.20200000000000004</v>
      </c>
      <c r="F63" s="781">
        <f t="shared" si="9"/>
        <v>0.22700000000000004</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2099.9110546135339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2099.9110546135339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16348.70844142623</v>
      </c>
      <c r="C4" s="477">
        <f>huishoudens!C8</f>
        <v>0</v>
      </c>
      <c r="D4" s="477">
        <f>huishoudens!D8</f>
        <v>38323.554994804945</v>
      </c>
      <c r="E4" s="477">
        <f>huishoudens!E8</f>
        <v>1891.015453103603</v>
      </c>
      <c r="F4" s="477">
        <f>huishoudens!F8</f>
        <v>20736.517599836487</v>
      </c>
      <c r="G4" s="477">
        <f>huishoudens!G8</f>
        <v>0</v>
      </c>
      <c r="H4" s="477">
        <f>huishoudens!H8</f>
        <v>0</v>
      </c>
      <c r="I4" s="477">
        <f>huishoudens!I8</f>
        <v>0</v>
      </c>
      <c r="J4" s="477">
        <f>huishoudens!J8</f>
        <v>0</v>
      </c>
      <c r="K4" s="477">
        <f>huishoudens!K8</f>
        <v>0</v>
      </c>
      <c r="L4" s="477">
        <f>huishoudens!L8</f>
        <v>0</v>
      </c>
      <c r="M4" s="477">
        <f>huishoudens!M8</f>
        <v>0</v>
      </c>
      <c r="N4" s="477">
        <f>huishoudens!N8</f>
        <v>5111.1377299622263</v>
      </c>
      <c r="O4" s="477">
        <f>huishoudens!O8</f>
        <v>168.84</v>
      </c>
      <c r="P4" s="478">
        <f>huishoudens!P8</f>
        <v>286</v>
      </c>
      <c r="Q4" s="479">
        <f>SUM(B4:P4)</f>
        <v>82865.774219133484</v>
      </c>
    </row>
    <row r="5" spans="1:17">
      <c r="A5" s="476" t="s">
        <v>156</v>
      </c>
      <c r="B5" s="477">
        <f ca="1">tertiair!B16</f>
        <v>7798.1220244187862</v>
      </c>
      <c r="C5" s="477">
        <f ca="1">tertiair!C16</f>
        <v>0</v>
      </c>
      <c r="D5" s="477">
        <f ca="1">tertiair!D16</f>
        <v>7467.0475365255124</v>
      </c>
      <c r="E5" s="477">
        <f>tertiair!E16</f>
        <v>66.016690857176968</v>
      </c>
      <c r="F5" s="477">
        <f ca="1">tertiair!F16</f>
        <v>1531.6549251161223</v>
      </c>
      <c r="G5" s="477">
        <f>tertiair!G16</f>
        <v>0</v>
      </c>
      <c r="H5" s="477">
        <f>tertiair!H16</f>
        <v>0</v>
      </c>
      <c r="I5" s="477">
        <f>tertiair!I16</f>
        <v>0</v>
      </c>
      <c r="J5" s="477">
        <f>tertiair!J16</f>
        <v>6.0493367912888805E-2</v>
      </c>
      <c r="K5" s="477">
        <f>tertiair!K16</f>
        <v>0</v>
      </c>
      <c r="L5" s="477">
        <f ca="1">tertiair!L16</f>
        <v>0</v>
      </c>
      <c r="M5" s="477">
        <f>tertiair!M16</f>
        <v>0</v>
      </c>
      <c r="N5" s="477">
        <f ca="1">tertiair!N16</f>
        <v>2385.9776164995201</v>
      </c>
      <c r="O5" s="477">
        <f>tertiair!O16</f>
        <v>1.5633333333333335</v>
      </c>
      <c r="P5" s="478">
        <f>tertiair!P16</f>
        <v>19.066666666666666</v>
      </c>
      <c r="Q5" s="476">
        <f t="shared" ref="Q5:Q14" ca="1" si="0">SUM(B5:P5)</f>
        <v>19269.509286785029</v>
      </c>
    </row>
    <row r="6" spans="1:17">
      <c r="A6" s="476" t="s">
        <v>194</v>
      </c>
      <c r="B6" s="477">
        <f>'openbare verlichting'!B8</f>
        <v>526.56700000000001</v>
      </c>
      <c r="C6" s="477"/>
      <c r="D6" s="477"/>
      <c r="E6" s="477"/>
      <c r="F6" s="477"/>
      <c r="G6" s="477"/>
      <c r="H6" s="477"/>
      <c r="I6" s="477"/>
      <c r="J6" s="477"/>
      <c r="K6" s="477"/>
      <c r="L6" s="477"/>
      <c r="M6" s="477"/>
      <c r="N6" s="477"/>
      <c r="O6" s="477"/>
      <c r="P6" s="478"/>
      <c r="Q6" s="476">
        <f t="shared" si="0"/>
        <v>526.56700000000001</v>
      </c>
    </row>
    <row r="7" spans="1:17">
      <c r="A7" s="476" t="s">
        <v>112</v>
      </c>
      <c r="B7" s="477">
        <f>landbouw!B8</f>
        <v>220.24564642463591</v>
      </c>
      <c r="C7" s="477">
        <f>landbouw!C8</f>
        <v>0</v>
      </c>
      <c r="D7" s="477">
        <f>landbouw!D8</f>
        <v>296.90081631793407</v>
      </c>
      <c r="E7" s="477">
        <f>landbouw!E8</f>
        <v>6.4736922562691781</v>
      </c>
      <c r="F7" s="477">
        <f>landbouw!F8</f>
        <v>917.53146155497973</v>
      </c>
      <c r="G7" s="477">
        <f>landbouw!G8</f>
        <v>0</v>
      </c>
      <c r="H7" s="477">
        <f>landbouw!H8</f>
        <v>0</v>
      </c>
      <c r="I7" s="477">
        <f>landbouw!I8</f>
        <v>0</v>
      </c>
      <c r="J7" s="477">
        <f>landbouw!J8</f>
        <v>31.90886433753095</v>
      </c>
      <c r="K7" s="477">
        <f>landbouw!K8</f>
        <v>0</v>
      </c>
      <c r="L7" s="477">
        <f>landbouw!L8</f>
        <v>0</v>
      </c>
      <c r="M7" s="477">
        <f>landbouw!M8</f>
        <v>0</v>
      </c>
      <c r="N7" s="477">
        <f>landbouw!N8</f>
        <v>0</v>
      </c>
      <c r="O7" s="477">
        <f>landbouw!O8</f>
        <v>0</v>
      </c>
      <c r="P7" s="478">
        <f>landbouw!P8</f>
        <v>0</v>
      </c>
      <c r="Q7" s="476">
        <f t="shared" si="0"/>
        <v>1473.0604808913497</v>
      </c>
    </row>
    <row r="8" spans="1:17">
      <c r="A8" s="476" t="s">
        <v>635</v>
      </c>
      <c r="B8" s="477">
        <f>industrie!B18</f>
        <v>766.61317546252235</v>
      </c>
      <c r="C8" s="477">
        <f>industrie!C18</f>
        <v>0</v>
      </c>
      <c r="D8" s="477">
        <f>industrie!D18</f>
        <v>864.60321928083636</v>
      </c>
      <c r="E8" s="477">
        <f>industrie!E18</f>
        <v>128.07959529782141</v>
      </c>
      <c r="F8" s="477">
        <f>industrie!F18</f>
        <v>371.60505580180029</v>
      </c>
      <c r="G8" s="477">
        <f>industrie!G18</f>
        <v>0</v>
      </c>
      <c r="H8" s="477">
        <f>industrie!H18</f>
        <v>0</v>
      </c>
      <c r="I8" s="477">
        <f>industrie!I18</f>
        <v>0</v>
      </c>
      <c r="J8" s="477">
        <f>industrie!J18</f>
        <v>1.1588138179435545</v>
      </c>
      <c r="K8" s="477">
        <f>industrie!K18</f>
        <v>0</v>
      </c>
      <c r="L8" s="477">
        <f>industrie!L18</f>
        <v>0</v>
      </c>
      <c r="M8" s="477">
        <f>industrie!M18</f>
        <v>0</v>
      </c>
      <c r="N8" s="477">
        <f>industrie!N18</f>
        <v>198.06616822671427</v>
      </c>
      <c r="O8" s="477">
        <f>industrie!O18</f>
        <v>0</v>
      </c>
      <c r="P8" s="478">
        <f>industrie!P18</f>
        <v>0</v>
      </c>
      <c r="Q8" s="476">
        <f t="shared" si="0"/>
        <v>2330.126027887638</v>
      </c>
    </row>
    <row r="9" spans="1:17" s="482" customFormat="1">
      <c r="A9" s="480" t="s">
        <v>561</v>
      </c>
      <c r="B9" s="481">
        <f>transport!B14</f>
        <v>98.572386032568559</v>
      </c>
      <c r="C9" s="481">
        <f>transport!C14</f>
        <v>0</v>
      </c>
      <c r="D9" s="481">
        <f>transport!D14</f>
        <v>334.79832710846955</v>
      </c>
      <c r="E9" s="481">
        <f>transport!E14</f>
        <v>523.54138723242761</v>
      </c>
      <c r="F9" s="481">
        <f>transport!F14</f>
        <v>0</v>
      </c>
      <c r="G9" s="481">
        <f>transport!G14</f>
        <v>167850.64179240656</v>
      </c>
      <c r="H9" s="481">
        <f>transport!H14</f>
        <v>38909.46614039773</v>
      </c>
      <c r="I9" s="481">
        <f>transport!I14</f>
        <v>0</v>
      </c>
      <c r="J9" s="481">
        <f>transport!J14</f>
        <v>0</v>
      </c>
      <c r="K9" s="481">
        <f>transport!K14</f>
        <v>0</v>
      </c>
      <c r="L9" s="481">
        <f>transport!L14</f>
        <v>0</v>
      </c>
      <c r="M9" s="481">
        <f>transport!M14</f>
        <v>10954.560579257726</v>
      </c>
      <c r="N9" s="481">
        <f>transport!N14</f>
        <v>0</v>
      </c>
      <c r="O9" s="481">
        <f>transport!O14</f>
        <v>0</v>
      </c>
      <c r="P9" s="481">
        <f>transport!P14</f>
        <v>0</v>
      </c>
      <c r="Q9" s="480">
        <f>SUM(B9:P9)</f>
        <v>218671.5806124355</v>
      </c>
    </row>
    <row r="10" spans="1:17">
      <c r="A10" s="476" t="s">
        <v>551</v>
      </c>
      <c r="B10" s="477">
        <f>transport!B54</f>
        <v>0</v>
      </c>
      <c r="C10" s="477">
        <f>transport!C54</f>
        <v>0</v>
      </c>
      <c r="D10" s="477">
        <f>transport!D54</f>
        <v>0</v>
      </c>
      <c r="E10" s="477">
        <f>transport!E54</f>
        <v>0</v>
      </c>
      <c r="F10" s="477">
        <f>transport!F54</f>
        <v>0</v>
      </c>
      <c r="G10" s="477">
        <f>transport!G54</f>
        <v>3173.1108005445444</v>
      </c>
      <c r="H10" s="477">
        <f>transport!H54</f>
        <v>0</v>
      </c>
      <c r="I10" s="477">
        <f>transport!I54</f>
        <v>0</v>
      </c>
      <c r="J10" s="477">
        <f>transport!J54</f>
        <v>0</v>
      </c>
      <c r="K10" s="477">
        <f>transport!K54</f>
        <v>0</v>
      </c>
      <c r="L10" s="477">
        <f>transport!L54</f>
        <v>0</v>
      </c>
      <c r="M10" s="477">
        <f>transport!M54</f>
        <v>180.2186855309244</v>
      </c>
      <c r="N10" s="477">
        <f>transport!N54</f>
        <v>0</v>
      </c>
      <c r="O10" s="477">
        <f>transport!O54</f>
        <v>0</v>
      </c>
      <c r="P10" s="478">
        <f>transport!P54</f>
        <v>0</v>
      </c>
      <c r="Q10" s="476">
        <f t="shared" si="0"/>
        <v>3353.3294860754686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774.51050303877298</v>
      </c>
      <c r="C14" s="484"/>
      <c r="D14" s="484">
        <f>'SEAP template'!E25</f>
        <v>1039.3410082273201</v>
      </c>
      <c r="E14" s="484"/>
      <c r="F14" s="484"/>
      <c r="G14" s="484"/>
      <c r="H14" s="484"/>
      <c r="I14" s="484"/>
      <c r="J14" s="484"/>
      <c r="K14" s="484"/>
      <c r="L14" s="484"/>
      <c r="M14" s="484"/>
      <c r="N14" s="484"/>
      <c r="O14" s="484"/>
      <c r="P14" s="485"/>
      <c r="Q14" s="476">
        <f t="shared" si="0"/>
        <v>1813.851511266093</v>
      </c>
    </row>
    <row r="15" spans="1:17" s="486" customFormat="1">
      <c r="A15" s="1039" t="s">
        <v>555</v>
      </c>
      <c r="B15" s="987">
        <f ca="1">SUM(B4:B14)</f>
        <v>26533.339176803511</v>
      </c>
      <c r="C15" s="987">
        <f t="shared" ref="C15:Q15" ca="1" si="1">SUM(C4:C14)</f>
        <v>0</v>
      </c>
      <c r="D15" s="987">
        <f t="shared" ca="1" si="1"/>
        <v>48326.245902265007</v>
      </c>
      <c r="E15" s="987">
        <f t="shared" si="1"/>
        <v>2615.1268187472983</v>
      </c>
      <c r="F15" s="987">
        <f t="shared" ca="1" si="1"/>
        <v>23557.309042309389</v>
      </c>
      <c r="G15" s="987">
        <f t="shared" si="1"/>
        <v>171023.75259295112</v>
      </c>
      <c r="H15" s="987">
        <f t="shared" si="1"/>
        <v>38909.46614039773</v>
      </c>
      <c r="I15" s="987">
        <f t="shared" si="1"/>
        <v>0</v>
      </c>
      <c r="J15" s="987">
        <f t="shared" si="1"/>
        <v>33.128171523387394</v>
      </c>
      <c r="K15" s="987">
        <f t="shared" si="1"/>
        <v>0</v>
      </c>
      <c r="L15" s="987">
        <f t="shared" ca="1" si="1"/>
        <v>0</v>
      </c>
      <c r="M15" s="987">
        <f t="shared" si="1"/>
        <v>11134.779264788651</v>
      </c>
      <c r="N15" s="987">
        <f t="shared" ca="1" si="1"/>
        <v>7695.181514688461</v>
      </c>
      <c r="O15" s="987">
        <f t="shared" si="1"/>
        <v>170.40333333333334</v>
      </c>
      <c r="P15" s="987">
        <f t="shared" si="1"/>
        <v>305.06666666666666</v>
      </c>
      <c r="Q15" s="987">
        <f t="shared" ca="1" si="1"/>
        <v>330303.79862447456</v>
      </c>
    </row>
    <row r="17" spans="1:17">
      <c r="A17" s="487" t="s">
        <v>556</v>
      </c>
      <c r="B17" s="786">
        <f ca="1">huishoudens!B10</f>
        <v>0.20350953866088184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3327.1181126159167</v>
      </c>
      <c r="C22" s="477">
        <f t="shared" ref="C22:C32" ca="1" si="3">C4*$C$17</f>
        <v>0</v>
      </c>
      <c r="D22" s="477">
        <f t="shared" ref="D22:D32" si="4">D4*$D$17</f>
        <v>7741.3581089505997</v>
      </c>
      <c r="E22" s="477">
        <f t="shared" ref="E22:E32" si="5">E4*$E$17</f>
        <v>429.26050785451793</v>
      </c>
      <c r="F22" s="477">
        <f t="shared" ref="F22:F32" si="6">F4*$F$17</f>
        <v>5536.6501991563418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17034.386928577376</v>
      </c>
    </row>
    <row r="23" spans="1:17">
      <c r="A23" s="476" t="s">
        <v>156</v>
      </c>
      <c r="B23" s="477">
        <f t="shared" ca="1" si="2"/>
        <v>1586.9922156107291</v>
      </c>
      <c r="C23" s="477">
        <f t="shared" ca="1" si="3"/>
        <v>0</v>
      </c>
      <c r="D23" s="477">
        <f t="shared" ca="1" si="4"/>
        <v>1508.3436023781537</v>
      </c>
      <c r="E23" s="477">
        <f t="shared" si="5"/>
        <v>14.985788824579172</v>
      </c>
      <c r="F23" s="477">
        <f t="shared" ca="1" si="6"/>
        <v>408.95186500600465</v>
      </c>
      <c r="G23" s="477">
        <f t="shared" si="7"/>
        <v>0</v>
      </c>
      <c r="H23" s="477">
        <f t="shared" si="8"/>
        <v>0</v>
      </c>
      <c r="I23" s="477">
        <f t="shared" si="9"/>
        <v>0</v>
      </c>
      <c r="J23" s="477">
        <f t="shared" si="10"/>
        <v>2.1414652241162634E-2</v>
      </c>
      <c r="K23" s="477">
        <f t="shared" si="11"/>
        <v>0</v>
      </c>
      <c r="L23" s="477">
        <f t="shared" ca="1" si="12"/>
        <v>0</v>
      </c>
      <c r="M23" s="477">
        <f t="shared" si="13"/>
        <v>0</v>
      </c>
      <c r="N23" s="477">
        <f t="shared" ca="1" si="14"/>
        <v>0</v>
      </c>
      <c r="O23" s="477">
        <f t="shared" si="15"/>
        <v>0</v>
      </c>
      <c r="P23" s="478">
        <f t="shared" si="16"/>
        <v>0</v>
      </c>
      <c r="Q23" s="476">
        <f t="shared" ref="Q23:Q32" ca="1" si="17">SUM(B23:P23)</f>
        <v>3519.2948864717077</v>
      </c>
    </row>
    <row r="24" spans="1:17">
      <c r="A24" s="476" t="s">
        <v>194</v>
      </c>
      <c r="B24" s="477">
        <f t="shared" ca="1" si="2"/>
        <v>107.16140724404457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107.16140724404457</v>
      </c>
    </row>
    <row r="25" spans="1:17">
      <c r="A25" s="476" t="s">
        <v>112</v>
      </c>
      <c r="B25" s="477">
        <f t="shared" ca="1" si="2"/>
        <v>44.822089895945354</v>
      </c>
      <c r="C25" s="477">
        <f t="shared" ca="1" si="3"/>
        <v>0</v>
      </c>
      <c r="D25" s="477">
        <f t="shared" si="4"/>
        <v>59.973964896222689</v>
      </c>
      <c r="E25" s="477">
        <f t="shared" si="5"/>
        <v>1.4695281421731035</v>
      </c>
      <c r="F25" s="477">
        <f t="shared" si="6"/>
        <v>244.9809002351796</v>
      </c>
      <c r="G25" s="477">
        <f t="shared" si="7"/>
        <v>0</v>
      </c>
      <c r="H25" s="477">
        <f t="shared" si="8"/>
        <v>0</v>
      </c>
      <c r="I25" s="477">
        <f t="shared" si="9"/>
        <v>0</v>
      </c>
      <c r="J25" s="477">
        <f t="shared" si="10"/>
        <v>11.295737975485956</v>
      </c>
      <c r="K25" s="477">
        <f t="shared" si="11"/>
        <v>0</v>
      </c>
      <c r="L25" s="477">
        <f t="shared" si="12"/>
        <v>0</v>
      </c>
      <c r="M25" s="477">
        <f t="shared" si="13"/>
        <v>0</v>
      </c>
      <c r="N25" s="477">
        <f t="shared" si="14"/>
        <v>0</v>
      </c>
      <c r="O25" s="477">
        <f t="shared" si="15"/>
        <v>0</v>
      </c>
      <c r="P25" s="478">
        <f t="shared" si="16"/>
        <v>0</v>
      </c>
      <c r="Q25" s="476">
        <f t="shared" ca="1" si="17"/>
        <v>362.54222114500669</v>
      </c>
    </row>
    <row r="26" spans="1:17">
      <c r="A26" s="476" t="s">
        <v>635</v>
      </c>
      <c r="B26" s="477">
        <f t="shared" ca="1" si="2"/>
        <v>156.01309366973157</v>
      </c>
      <c r="C26" s="477">
        <f t="shared" ca="1" si="3"/>
        <v>0</v>
      </c>
      <c r="D26" s="477">
        <f t="shared" si="4"/>
        <v>174.64985029472896</v>
      </c>
      <c r="E26" s="477">
        <f t="shared" si="5"/>
        <v>29.074068132605461</v>
      </c>
      <c r="F26" s="477">
        <f t="shared" si="6"/>
        <v>99.218549899080685</v>
      </c>
      <c r="G26" s="477">
        <f t="shared" si="7"/>
        <v>0</v>
      </c>
      <c r="H26" s="477">
        <f t="shared" si="8"/>
        <v>0</v>
      </c>
      <c r="I26" s="477">
        <f t="shared" si="9"/>
        <v>0</v>
      </c>
      <c r="J26" s="477">
        <f t="shared" si="10"/>
        <v>0.41022009155201827</v>
      </c>
      <c r="K26" s="477">
        <f t="shared" si="11"/>
        <v>0</v>
      </c>
      <c r="L26" s="477">
        <f t="shared" si="12"/>
        <v>0</v>
      </c>
      <c r="M26" s="477">
        <f t="shared" si="13"/>
        <v>0</v>
      </c>
      <c r="N26" s="477">
        <f t="shared" si="14"/>
        <v>0</v>
      </c>
      <c r="O26" s="477">
        <f t="shared" si="15"/>
        <v>0</v>
      </c>
      <c r="P26" s="478">
        <f t="shared" si="16"/>
        <v>0</v>
      </c>
      <c r="Q26" s="476">
        <f t="shared" ca="1" si="17"/>
        <v>459.36578208769868</v>
      </c>
    </row>
    <row r="27" spans="1:17" s="482" customFormat="1">
      <c r="A27" s="480" t="s">
        <v>561</v>
      </c>
      <c r="B27" s="780">
        <f t="shared" ca="1" si="2"/>
        <v>20.060420806190379</v>
      </c>
      <c r="C27" s="481">
        <f t="shared" ca="1" si="3"/>
        <v>0</v>
      </c>
      <c r="D27" s="481">
        <f t="shared" si="4"/>
        <v>67.629262075910859</v>
      </c>
      <c r="E27" s="481">
        <f t="shared" si="5"/>
        <v>118.84389490176108</v>
      </c>
      <c r="F27" s="481">
        <f t="shared" si="6"/>
        <v>0</v>
      </c>
      <c r="G27" s="481">
        <f t="shared" si="7"/>
        <v>44816.121358572556</v>
      </c>
      <c r="H27" s="481">
        <f t="shared" si="8"/>
        <v>9688.4570689590346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54711.112005315452</v>
      </c>
    </row>
    <row r="28" spans="1:17">
      <c r="A28" s="476" t="s">
        <v>551</v>
      </c>
      <c r="B28" s="477">
        <f t="shared" ca="1" si="2"/>
        <v>0</v>
      </c>
      <c r="C28" s="477">
        <f t="shared" ca="1" si="3"/>
        <v>0</v>
      </c>
      <c r="D28" s="477">
        <f t="shared" si="4"/>
        <v>0</v>
      </c>
      <c r="E28" s="477">
        <f t="shared" si="5"/>
        <v>0</v>
      </c>
      <c r="F28" s="477">
        <f t="shared" si="6"/>
        <v>0</v>
      </c>
      <c r="G28" s="477">
        <f t="shared" si="7"/>
        <v>847.22058374539336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847.22058374539336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157.62027516142822</v>
      </c>
      <c r="C32" s="477">
        <f t="shared" ca="1" si="3"/>
        <v>0</v>
      </c>
      <c r="D32" s="477">
        <f t="shared" si="4"/>
        <v>209.94688366191869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367.56715882334692</v>
      </c>
    </row>
    <row r="33" spans="1:17" s="486" customFormat="1">
      <c r="A33" s="1039" t="s">
        <v>555</v>
      </c>
      <c r="B33" s="987">
        <f ca="1">SUM(B22:B32)</f>
        <v>5399.7876150039856</v>
      </c>
      <c r="C33" s="987">
        <f t="shared" ref="C33:Q33" ca="1" si="18">SUM(C22:C32)</f>
        <v>0</v>
      </c>
      <c r="D33" s="987">
        <f t="shared" ca="1" si="18"/>
        <v>9761.9016722575325</v>
      </c>
      <c r="E33" s="987">
        <f t="shared" si="18"/>
        <v>593.63378785563668</v>
      </c>
      <c r="F33" s="987">
        <f t="shared" ca="1" si="18"/>
        <v>6289.801514296606</v>
      </c>
      <c r="G33" s="987">
        <f t="shared" si="18"/>
        <v>45663.341942317951</v>
      </c>
      <c r="H33" s="987">
        <f t="shared" si="18"/>
        <v>9688.4570689590346</v>
      </c>
      <c r="I33" s="987">
        <f t="shared" si="18"/>
        <v>0</v>
      </c>
      <c r="J33" s="987">
        <f t="shared" si="18"/>
        <v>11.727372719279137</v>
      </c>
      <c r="K33" s="987">
        <f t="shared" si="18"/>
        <v>0</v>
      </c>
      <c r="L33" s="987">
        <f t="shared" ca="1" si="18"/>
        <v>0</v>
      </c>
      <c r="M33" s="987">
        <f t="shared" si="18"/>
        <v>0</v>
      </c>
      <c r="N33" s="987">
        <f t="shared" ca="1" si="18"/>
        <v>0</v>
      </c>
      <c r="O33" s="987">
        <f t="shared" si="18"/>
        <v>0</v>
      </c>
      <c r="P33" s="987">
        <f t="shared" si="18"/>
        <v>0</v>
      </c>
      <c r="Q33" s="987">
        <f t="shared" ca="1" si="18"/>
        <v>77408.65097341004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2099.9110546135339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2099.9110546135339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0.20350953866088184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0.20350953866088184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0.20350953866088184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0.20350953866088184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3816</v>
      </c>
      <c r="C9" s="342">
        <v>4080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1844.28</v>
      </c>
    </row>
    <row r="15" spans="1:6">
      <c r="A15" s="348" t="s">
        <v>184</v>
      </c>
      <c r="B15" s="334">
        <v>7</v>
      </c>
    </row>
    <row r="16" spans="1:6">
      <c r="A16" s="348" t="s">
        <v>6</v>
      </c>
      <c r="B16" s="334">
        <v>84</v>
      </c>
    </row>
    <row r="17" spans="1:6">
      <c r="A17" s="348" t="s">
        <v>7</v>
      </c>
      <c r="B17" s="334">
        <v>425</v>
      </c>
    </row>
    <row r="18" spans="1:6">
      <c r="A18" s="348" t="s">
        <v>8</v>
      </c>
      <c r="B18" s="334">
        <v>426</v>
      </c>
    </row>
    <row r="19" spans="1:6">
      <c r="A19" s="348" t="s">
        <v>9</v>
      </c>
      <c r="B19" s="334">
        <v>321</v>
      </c>
    </row>
    <row r="20" spans="1:6">
      <c r="A20" s="348" t="s">
        <v>10</v>
      </c>
      <c r="B20" s="334">
        <v>382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116</v>
      </c>
    </row>
    <row r="27" spans="1:6">
      <c r="A27" s="348" t="s">
        <v>17</v>
      </c>
      <c r="B27" s="334">
        <v>1</v>
      </c>
    </row>
    <row r="28" spans="1:6" s="356" customFormat="1">
      <c r="A28" s="355" t="s">
        <v>18</v>
      </c>
      <c r="B28" s="355">
        <v>5</v>
      </c>
    </row>
    <row r="29" spans="1:6">
      <c r="A29" s="355" t="s">
        <v>744</v>
      </c>
      <c r="B29" s="355">
        <v>76</v>
      </c>
      <c r="C29" s="356"/>
      <c r="D29" s="356"/>
      <c r="E29" s="356"/>
      <c r="F29" s="356"/>
    </row>
    <row r="30" spans="1:6">
      <c r="A30" s="341" t="s">
        <v>745</v>
      </c>
      <c r="B30" s="341">
        <v>39</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3700.229306661</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2227</v>
      </c>
      <c r="D39" s="334">
        <v>42487311.524173997</v>
      </c>
      <c r="E39" s="334">
        <v>3753</v>
      </c>
      <c r="F39" s="334">
        <v>14324850.851404101</v>
      </c>
    </row>
    <row r="40" spans="1:6">
      <c r="A40" s="348" t="s">
        <v>30</v>
      </c>
      <c r="B40" s="348" t="s">
        <v>29</v>
      </c>
      <c r="C40" s="334">
        <v>0</v>
      </c>
      <c r="D40" s="334">
        <v>0</v>
      </c>
      <c r="E40" s="334">
        <v>0</v>
      </c>
      <c r="F40" s="334">
        <v>0</v>
      </c>
    </row>
    <row r="41" spans="1:6">
      <c r="A41" s="348" t="s">
        <v>32</v>
      </c>
      <c r="B41" s="348" t="s">
        <v>33</v>
      </c>
      <c r="C41" s="334">
        <v>9</v>
      </c>
      <c r="D41" s="334">
        <v>210369.402965813</v>
      </c>
      <c r="E41" s="334">
        <v>46</v>
      </c>
      <c r="F41" s="334">
        <v>375116.009167713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57843.0444192254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748170.75144753105</v>
      </c>
      <c r="E48" s="334">
        <v>24</v>
      </c>
      <c r="F48" s="334">
        <v>323692.72993408301</v>
      </c>
    </row>
    <row r="49" spans="1:6">
      <c r="A49" s="348" t="s">
        <v>32</v>
      </c>
      <c r="B49" s="348" t="s">
        <v>40</v>
      </c>
      <c r="C49" s="334">
        <v>0</v>
      </c>
      <c r="D49" s="334">
        <v>0</v>
      </c>
      <c r="E49" s="334">
        <v>0</v>
      </c>
      <c r="F49" s="334">
        <v>0</v>
      </c>
    </row>
    <row r="50" spans="1:6">
      <c r="A50" s="348" t="s">
        <v>32</v>
      </c>
      <c r="B50" s="348" t="s">
        <v>41</v>
      </c>
      <c r="C50" s="334">
        <v>0</v>
      </c>
      <c r="D50" s="334">
        <v>0</v>
      </c>
      <c r="E50" s="334">
        <v>4</v>
      </c>
      <c r="F50" s="334">
        <v>9961.3919415010005</v>
      </c>
    </row>
    <row r="51" spans="1:6">
      <c r="A51" s="348" t="s">
        <v>42</v>
      </c>
      <c r="B51" s="348" t="s">
        <v>43</v>
      </c>
      <c r="C51" s="334">
        <v>3</v>
      </c>
      <c r="D51" s="334">
        <v>96321.178307462804</v>
      </c>
      <c r="E51" s="334">
        <v>24</v>
      </c>
      <c r="F51" s="334">
        <v>134744.97389183301</v>
      </c>
    </row>
    <row r="52" spans="1:6">
      <c r="A52" s="348" t="s">
        <v>42</v>
      </c>
      <c r="B52" s="348" t="s">
        <v>29</v>
      </c>
      <c r="C52" s="334">
        <v>8</v>
      </c>
      <c r="D52" s="334">
        <v>232837.154639249</v>
      </c>
      <c r="E52" s="334">
        <v>11</v>
      </c>
      <c r="F52" s="334">
        <v>85500.672532802899</v>
      </c>
    </row>
    <row r="53" spans="1:6">
      <c r="A53" s="348" t="s">
        <v>44</v>
      </c>
      <c r="B53" s="348" t="s">
        <v>45</v>
      </c>
      <c r="C53" s="334">
        <v>49</v>
      </c>
      <c r="D53" s="334">
        <v>1039341.00822732</v>
      </c>
      <c r="E53" s="334">
        <v>121</v>
      </c>
      <c r="F53" s="334">
        <v>774510.50303877296</v>
      </c>
    </row>
    <row r="54" spans="1:6">
      <c r="A54" s="348" t="s">
        <v>46</v>
      </c>
      <c r="B54" s="348" t="s">
        <v>47</v>
      </c>
      <c r="C54" s="334">
        <v>0</v>
      </c>
      <c r="D54" s="334">
        <v>0</v>
      </c>
      <c r="E54" s="334">
        <v>1</v>
      </c>
      <c r="F54" s="334">
        <v>526567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365630.58986681502</v>
      </c>
      <c r="E57" s="334">
        <v>27</v>
      </c>
      <c r="F57" s="334">
        <v>2516942.6109672901</v>
      </c>
    </row>
    <row r="58" spans="1:6">
      <c r="A58" s="348" t="s">
        <v>49</v>
      </c>
      <c r="B58" s="348" t="s">
        <v>51</v>
      </c>
      <c r="C58" s="334">
        <v>7</v>
      </c>
      <c r="D58" s="334">
        <v>1067247.9840373599</v>
      </c>
      <c r="E58" s="334">
        <v>11</v>
      </c>
      <c r="F58" s="334">
        <v>788363.53074877395</v>
      </c>
    </row>
    <row r="59" spans="1:6">
      <c r="A59" s="348" t="s">
        <v>49</v>
      </c>
      <c r="B59" s="348" t="s">
        <v>52</v>
      </c>
      <c r="C59" s="334">
        <v>6</v>
      </c>
      <c r="D59" s="334">
        <v>400208.06871468498</v>
      </c>
      <c r="E59" s="334">
        <v>34</v>
      </c>
      <c r="F59" s="334">
        <v>786151.01176465501</v>
      </c>
    </row>
    <row r="60" spans="1:6">
      <c r="A60" s="348" t="s">
        <v>49</v>
      </c>
      <c r="B60" s="348" t="s">
        <v>53</v>
      </c>
      <c r="C60" s="334">
        <v>15</v>
      </c>
      <c r="D60" s="334">
        <v>593679.26615089295</v>
      </c>
      <c r="E60" s="334">
        <v>19</v>
      </c>
      <c r="F60" s="334">
        <v>306870.37988211203</v>
      </c>
    </row>
    <row r="61" spans="1:6">
      <c r="A61" s="348" t="s">
        <v>49</v>
      </c>
      <c r="B61" s="348" t="s">
        <v>54</v>
      </c>
      <c r="C61" s="334">
        <v>54</v>
      </c>
      <c r="D61" s="334">
        <v>3036255.1098473198</v>
      </c>
      <c r="E61" s="334">
        <v>103</v>
      </c>
      <c r="F61" s="334">
        <v>979662.79760023602</v>
      </c>
    </row>
    <row r="62" spans="1:6">
      <c r="A62" s="348" t="s">
        <v>49</v>
      </c>
      <c r="B62" s="348" t="s">
        <v>55</v>
      </c>
      <c r="C62" s="334">
        <v>0</v>
      </c>
      <c r="D62" s="334">
        <v>0</v>
      </c>
      <c r="E62" s="334">
        <v>0</v>
      </c>
      <c r="F62" s="334">
        <v>0</v>
      </c>
    </row>
    <row r="63" spans="1:6">
      <c r="A63" s="348" t="s">
        <v>49</v>
      </c>
      <c r="B63" s="348" t="s">
        <v>29</v>
      </c>
      <c r="C63" s="334">
        <v>85</v>
      </c>
      <c r="D63" s="334">
        <v>2815302.1926085502</v>
      </c>
      <c r="E63" s="334">
        <v>122</v>
      </c>
      <c r="F63" s="334">
        <v>2420131.6934557199</v>
      </c>
    </row>
    <row r="64" spans="1:6">
      <c r="A64" s="348" t="s">
        <v>56</v>
      </c>
      <c r="B64" s="348" t="s">
        <v>57</v>
      </c>
      <c r="C64" s="334">
        <v>0</v>
      </c>
      <c r="D64" s="334">
        <v>0</v>
      </c>
      <c r="E64" s="334">
        <v>0</v>
      </c>
      <c r="F64" s="334">
        <v>0</v>
      </c>
    </row>
    <row r="65" spans="1:6">
      <c r="A65" s="348" t="s">
        <v>56</v>
      </c>
      <c r="B65" s="348" t="s">
        <v>29</v>
      </c>
      <c r="C65" s="334">
        <v>3</v>
      </c>
      <c r="D65" s="334">
        <v>73936.440383110705</v>
      </c>
      <c r="E65" s="334">
        <v>2</v>
      </c>
      <c r="F65" s="334">
        <v>15163.3246475005</v>
      </c>
    </row>
    <row r="66" spans="1:6">
      <c r="A66" s="348" t="s">
        <v>56</v>
      </c>
      <c r="B66" s="348" t="s">
        <v>58</v>
      </c>
      <c r="C66" s="334">
        <v>0</v>
      </c>
      <c r="D66" s="334">
        <v>0</v>
      </c>
      <c r="E66" s="334">
        <v>6</v>
      </c>
      <c r="F66" s="334">
        <v>710820</v>
      </c>
    </row>
    <row r="67" spans="1:6">
      <c r="A67" s="355" t="s">
        <v>56</v>
      </c>
      <c r="B67" s="355" t="s">
        <v>59</v>
      </c>
      <c r="C67" s="334">
        <v>0</v>
      </c>
      <c r="D67" s="334">
        <v>0</v>
      </c>
      <c r="E67" s="334">
        <v>0</v>
      </c>
      <c r="F67" s="334">
        <v>0</v>
      </c>
    </row>
    <row r="68" spans="1:6">
      <c r="A68" s="341" t="s">
        <v>56</v>
      </c>
      <c r="B68" s="341" t="s">
        <v>60</v>
      </c>
      <c r="C68" s="334">
        <v>0</v>
      </c>
      <c r="D68" s="334">
        <v>0</v>
      </c>
      <c r="E68" s="334">
        <v>6</v>
      </c>
      <c r="F68" s="334">
        <v>87371.123977798794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41998002</v>
      </c>
      <c r="E73" s="475">
        <v>54276093.568677232</v>
      </c>
    </row>
    <row r="74" spans="1:6">
      <c r="A74" s="348" t="s">
        <v>64</v>
      </c>
      <c r="B74" s="348" t="s">
        <v>657</v>
      </c>
      <c r="C74" s="1295" t="s">
        <v>659</v>
      </c>
      <c r="D74" s="475">
        <v>564738.5</v>
      </c>
      <c r="E74" s="475">
        <v>493579.18226048222</v>
      </c>
    </row>
    <row r="75" spans="1:6">
      <c r="A75" s="348" t="s">
        <v>65</v>
      </c>
      <c r="B75" s="348" t="s">
        <v>656</v>
      </c>
      <c r="C75" s="1295" t="s">
        <v>660</v>
      </c>
      <c r="D75" s="475">
        <v>32194132</v>
      </c>
      <c r="E75" s="475">
        <v>42864461.36541447</v>
      </c>
    </row>
    <row r="76" spans="1:6">
      <c r="A76" s="348" t="s">
        <v>65</v>
      </c>
      <c r="B76" s="348" t="s">
        <v>657</v>
      </c>
      <c r="C76" s="1295" t="s">
        <v>661</v>
      </c>
      <c r="D76" s="475">
        <v>387916.5</v>
      </c>
      <c r="E76" s="475">
        <v>322898.86917441175</v>
      </c>
    </row>
    <row r="77" spans="1:6">
      <c r="A77" s="348" t="s">
        <v>66</v>
      </c>
      <c r="B77" s="348" t="s">
        <v>656</v>
      </c>
      <c r="C77" s="1295" t="s">
        <v>662</v>
      </c>
      <c r="D77" s="475">
        <v>176371048</v>
      </c>
      <c r="E77" s="475">
        <v>181219874.47984859</v>
      </c>
    </row>
    <row r="78" spans="1:6">
      <c r="A78" s="341" t="s">
        <v>66</v>
      </c>
      <c r="B78" s="341" t="s">
        <v>657</v>
      </c>
      <c r="C78" s="341" t="s">
        <v>663</v>
      </c>
      <c r="D78" s="1296">
        <v>16750503</v>
      </c>
      <c r="E78" s="1296">
        <v>16811902.773598034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909479</v>
      </c>
      <c r="C83" s="475">
        <v>910716.82663210644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2023.857590022129</v>
      </c>
    </row>
    <row r="92" spans="1:6">
      <c r="A92" s="341" t="s">
        <v>69</v>
      </c>
      <c r="B92" s="342">
        <v>76.053464591405131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1057</v>
      </c>
    </row>
    <row r="98" spans="1:6">
      <c r="A98" s="348" t="s">
        <v>72</v>
      </c>
      <c r="B98" s="334">
        <v>0</v>
      </c>
    </row>
    <row r="99" spans="1:6">
      <c r="A99" s="348" t="s">
        <v>73</v>
      </c>
      <c r="B99" s="334">
        <v>29</v>
      </c>
    </row>
    <row r="100" spans="1:6">
      <c r="A100" s="348" t="s">
        <v>74</v>
      </c>
      <c r="B100" s="334">
        <v>199</v>
      </c>
    </row>
    <row r="101" spans="1:6">
      <c r="A101" s="348" t="s">
        <v>75</v>
      </c>
      <c r="B101" s="334">
        <v>23</v>
      </c>
    </row>
    <row r="102" spans="1:6">
      <c r="A102" s="348" t="s">
        <v>76</v>
      </c>
      <c r="B102" s="334">
        <v>35</v>
      </c>
    </row>
    <row r="103" spans="1:6">
      <c r="A103" s="348" t="s">
        <v>77</v>
      </c>
      <c r="B103" s="334">
        <v>76</v>
      </c>
    </row>
    <row r="104" spans="1:6">
      <c r="A104" s="348" t="s">
        <v>78</v>
      </c>
      <c r="B104" s="334">
        <v>1854</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26533.339176803518</v>
      </c>
      <c r="C3" s="43" t="s">
        <v>170</v>
      </c>
      <c r="D3" s="43"/>
      <c r="E3" s="154"/>
      <c r="F3" s="43"/>
      <c r="G3" s="43"/>
      <c r="H3" s="43"/>
      <c r="I3" s="43"/>
      <c r="J3" s="43"/>
      <c r="K3" s="96"/>
    </row>
    <row r="4" spans="1:11">
      <c r="A4" s="383" t="s">
        <v>171</v>
      </c>
      <c r="B4" s="49">
        <f>IF(ISERROR('SEAP template'!B78+'SEAP template'!C78),0,'SEAP template'!B78+'SEAP template'!C78)</f>
        <v>2099.9110546135339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0.20350953866088184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526.56700000000001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526.56700000000001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0.20350953866088184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107.16140724404457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14324.8508514041</v>
      </c>
      <c r="C5" s="17">
        <f>IF(ISERROR('Eigen informatie GS &amp; warmtenet'!B57),0,'Eigen informatie GS &amp; warmtenet'!B57)</f>
        <v>0</v>
      </c>
      <c r="D5" s="30">
        <f>(SUM(HH_hh_gas_kWh,HH_rest_gas_kWh)/1000)*0.902</f>
        <v>38323.554994804945</v>
      </c>
      <c r="E5" s="17">
        <f>B46*B57</f>
        <v>1891.015453103603</v>
      </c>
      <c r="F5" s="17">
        <f>B51*B62</f>
        <v>20736.517599836487</v>
      </c>
      <c r="G5" s="18"/>
      <c r="H5" s="17"/>
      <c r="I5" s="17"/>
      <c r="J5" s="17">
        <f>B50*B61+C50*C61</f>
        <v>0</v>
      </c>
      <c r="K5" s="17"/>
      <c r="L5" s="17"/>
      <c r="M5" s="17"/>
      <c r="N5" s="17">
        <f>B48*B59+C48*C59</f>
        <v>5111.1377299622263</v>
      </c>
      <c r="O5" s="17">
        <f>B69*B70*B71</f>
        <v>168.84</v>
      </c>
      <c r="P5" s="17">
        <f>B77*B78*B79/1000-B77*B78*B79/1000/B80</f>
        <v>286</v>
      </c>
    </row>
    <row r="6" spans="1:16">
      <c r="A6" s="16" t="s">
        <v>621</v>
      </c>
      <c r="B6" s="788">
        <f>kWh_PV_kleiner_dan_10kW</f>
        <v>2023.857590022129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16348.70844142623</v>
      </c>
      <c r="C8" s="21">
        <f>C5</f>
        <v>0</v>
      </c>
      <c r="D8" s="21">
        <f>D5</f>
        <v>38323.554994804945</v>
      </c>
      <c r="E8" s="21">
        <f>E5</f>
        <v>1891.015453103603</v>
      </c>
      <c r="F8" s="21">
        <f>F5</f>
        <v>20736.517599836487</v>
      </c>
      <c r="G8" s="21"/>
      <c r="H8" s="21"/>
      <c r="I8" s="21"/>
      <c r="J8" s="21">
        <f>J5</f>
        <v>0</v>
      </c>
      <c r="K8" s="21"/>
      <c r="L8" s="21">
        <f>L5</f>
        <v>0</v>
      </c>
      <c r="M8" s="21">
        <f>M5</f>
        <v>0</v>
      </c>
      <c r="N8" s="21">
        <f>N5</f>
        <v>5111.1377299622263</v>
      </c>
      <c r="O8" s="21">
        <f>O5</f>
        <v>168.84</v>
      </c>
      <c r="P8" s="21">
        <f>P5</f>
        <v>286</v>
      </c>
    </row>
    <row r="9" spans="1:16">
      <c r="B9" s="19"/>
      <c r="C9" s="19"/>
      <c r="D9" s="258"/>
      <c r="E9" s="19"/>
      <c r="F9" s="19"/>
      <c r="G9" s="19"/>
      <c r="H9" s="19"/>
      <c r="I9" s="19"/>
      <c r="J9" s="19"/>
      <c r="K9" s="19"/>
      <c r="L9" s="19"/>
      <c r="M9" s="19"/>
      <c r="N9" s="19"/>
      <c r="O9" s="19"/>
      <c r="P9" s="19"/>
    </row>
    <row r="10" spans="1:16">
      <c r="A10" s="24" t="s">
        <v>214</v>
      </c>
      <c r="B10" s="25">
        <f ca="1">'EF ele_warmte'!B12</f>
        <v>0.20350953866088184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3327.1181126159167</v>
      </c>
      <c r="C12" s="23">
        <f ca="1">C10*C8</f>
        <v>0</v>
      </c>
      <c r="D12" s="23">
        <f>D8*D10</f>
        <v>7741.3581089505997</v>
      </c>
      <c r="E12" s="23">
        <f>E10*E8</f>
        <v>429.26050785451793</v>
      </c>
      <c r="F12" s="23">
        <f>F10*F8</f>
        <v>5536.6501991563418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1057</v>
      </c>
      <c r="C18" s="166" t="s">
        <v>111</v>
      </c>
      <c r="D18" s="228"/>
      <c r="E18" s="15"/>
    </row>
    <row r="19" spans="1:7">
      <c r="A19" s="171" t="s">
        <v>72</v>
      </c>
      <c r="B19" s="37">
        <f>aantalw2001_ander</f>
        <v>0</v>
      </c>
      <c r="C19" s="166" t="s">
        <v>111</v>
      </c>
      <c r="D19" s="229"/>
      <c r="E19" s="15"/>
    </row>
    <row r="20" spans="1:7">
      <c r="A20" s="171" t="s">
        <v>73</v>
      </c>
      <c r="B20" s="37">
        <f>aantalw2001_propaan</f>
        <v>29</v>
      </c>
      <c r="C20" s="167">
        <f>IF(ISERROR(B20/SUM($B$20,$B$21,$B$22)*100),0,B20/SUM($B$20,$B$21,$B$22)*100)</f>
        <v>11.553784860557768</v>
      </c>
      <c r="D20" s="229"/>
      <c r="E20" s="15"/>
    </row>
    <row r="21" spans="1:7">
      <c r="A21" s="171" t="s">
        <v>74</v>
      </c>
      <c r="B21" s="37">
        <f>aantalw2001_elektriciteit</f>
        <v>199</v>
      </c>
      <c r="C21" s="167">
        <f>IF(ISERROR(B21/SUM($B$20,$B$21,$B$22)*100),0,B21/SUM($B$20,$B$21,$B$22)*100)</f>
        <v>79.282868525896404</v>
      </c>
      <c r="D21" s="229"/>
      <c r="E21" s="15"/>
    </row>
    <row r="22" spans="1:7">
      <c r="A22" s="171" t="s">
        <v>75</v>
      </c>
      <c r="B22" s="37">
        <f>aantalw2001_hout</f>
        <v>23</v>
      </c>
      <c r="C22" s="167">
        <f>IF(ISERROR(B22/SUM($B$20,$B$21,$B$22)*100),0,B22/SUM($B$20,$B$21,$B$22)*100)</f>
        <v>9.1633466135458175</v>
      </c>
      <c r="D22" s="229"/>
      <c r="E22" s="15"/>
    </row>
    <row r="23" spans="1:7">
      <c r="A23" s="171" t="s">
        <v>76</v>
      </c>
      <c r="B23" s="37">
        <f>aantalw2001_niet_gespec</f>
        <v>35</v>
      </c>
      <c r="C23" s="166" t="s">
        <v>111</v>
      </c>
      <c r="D23" s="228"/>
      <c r="E23" s="15"/>
    </row>
    <row r="24" spans="1:7">
      <c r="A24" s="171" t="s">
        <v>77</v>
      </c>
      <c r="B24" s="37">
        <f>aantalw2001_steenkool</f>
        <v>76</v>
      </c>
      <c r="C24" s="166" t="s">
        <v>111</v>
      </c>
      <c r="D24" s="229"/>
      <c r="E24" s="15"/>
    </row>
    <row r="25" spans="1:7">
      <c r="A25" s="171" t="s">
        <v>78</v>
      </c>
      <c r="B25" s="37">
        <f>aantalw2001_stookolie</f>
        <v>1854</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3816</v>
      </c>
      <c r="C28" s="36"/>
      <c r="D28" s="228"/>
    </row>
    <row r="29" spans="1:7" s="15" customFormat="1">
      <c r="A29" s="230" t="s">
        <v>794</v>
      </c>
      <c r="B29" s="37">
        <f>SUM(HH_hh_gas_aantal,HH_rest_gas_aantal)</f>
        <v>2227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2227</v>
      </c>
      <c r="C32" s="167">
        <f>IF(ISERROR(B32/SUM($B$32,$B$34,$B$35,$B$36,$B$38,$B$39)*100),0,B32/SUM($B$32,$B$34,$B$35,$B$36,$B$38,$B$39)*100)</f>
        <v>58.589844777690089</v>
      </c>
      <c r="D32" s="233"/>
      <c r="G32" s="15"/>
    </row>
    <row r="33" spans="1:7">
      <c r="A33" s="171" t="s">
        <v>72</v>
      </c>
      <c r="B33" s="34" t="s">
        <v>111</v>
      </c>
      <c r="C33" s="167"/>
      <c r="D33" s="233"/>
      <c r="G33" s="15"/>
    </row>
    <row r="34" spans="1:7">
      <c r="A34" s="171" t="s">
        <v>73</v>
      </c>
      <c r="B34" s="33">
        <f>IF((($B$28-$B$32-$B$39-$B$77-$B$38)*C20/100)&lt;0,0,($B$28-$B$32-$B$39-$B$77-$B$38)*C20/100)</f>
        <v>89.310756972111534</v>
      </c>
      <c r="C34" s="167">
        <f>IF(ISERROR(B34/SUM($B$32,$B$34,$B$35,$B$36,$B$38,$B$39)*100),0,B34/SUM($B$32,$B$34,$B$35,$B$36,$B$38,$B$39)*100)</f>
        <v>2.3496647453857289</v>
      </c>
      <c r="D34" s="233"/>
      <c r="G34" s="15"/>
    </row>
    <row r="35" spans="1:7">
      <c r="A35" s="171" t="s">
        <v>74</v>
      </c>
      <c r="B35" s="33">
        <f>IF((($B$28-$B$32-$B$39-$B$77-$B$38)*C21/100)&lt;0,0,($B$28-$B$32-$B$39-$B$77-$B$38)*C21/100)</f>
        <v>612.85657370517913</v>
      </c>
      <c r="C35" s="167">
        <f>IF(ISERROR(B35/SUM($B$32,$B$34,$B$35,$B$36,$B$38,$B$39)*100),0,B35/SUM($B$32,$B$34,$B$35,$B$36,$B$38,$B$39)*100)</f>
        <v>16.123561528681378</v>
      </c>
      <c r="D35" s="233"/>
      <c r="G35" s="15"/>
    </row>
    <row r="36" spans="1:7">
      <c r="A36" s="171" t="s">
        <v>75</v>
      </c>
      <c r="B36" s="33">
        <f>IF((($B$28-$B$32-$B$39-$B$77-$B$38)*C22/100)&lt;0,0,($B$28-$B$32-$B$39-$B$77-$B$38)*C22/100)</f>
        <v>70.832669322709165</v>
      </c>
      <c r="C36" s="167">
        <f>IF(ISERROR(B36/SUM($B$32,$B$34,$B$35,$B$36,$B$38,$B$39)*100),0,B36/SUM($B$32,$B$34,$B$35,$B$36,$B$38,$B$39)*100)</f>
        <v>1.8635272118576474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801</v>
      </c>
      <c r="C39" s="167">
        <f>IF(ISERROR(B39/SUM($B$32,$B$34,$B$35,$B$36,$B$38,$B$39)*100),0,B39/SUM($B$32,$B$34,$B$35,$B$36,$B$38,$B$39)*100)</f>
        <v>21.073401736385165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2227</v>
      </c>
      <c r="C44" s="34" t="s">
        <v>111</v>
      </c>
      <c r="D44" s="174"/>
    </row>
    <row r="45" spans="1:7">
      <c r="A45" s="171" t="s">
        <v>72</v>
      </c>
      <c r="B45" s="33" t="str">
        <f t="shared" si="0"/>
        <v>-</v>
      </c>
      <c r="C45" s="34" t="s">
        <v>111</v>
      </c>
      <c r="D45" s="174"/>
    </row>
    <row r="46" spans="1:7">
      <c r="A46" s="171" t="s">
        <v>73</v>
      </c>
      <c r="B46" s="33">
        <f t="shared" si="0"/>
        <v>89.310756972111534</v>
      </c>
      <c r="C46" s="34" t="s">
        <v>111</v>
      </c>
      <c r="D46" s="174"/>
    </row>
    <row r="47" spans="1:7">
      <c r="A47" s="171" t="s">
        <v>74</v>
      </c>
      <c r="B47" s="33">
        <f t="shared" si="0"/>
        <v>612.85657370517913</v>
      </c>
      <c r="C47" s="34" t="s">
        <v>111</v>
      </c>
      <c r="D47" s="174"/>
    </row>
    <row r="48" spans="1:7">
      <c r="A48" s="171" t="s">
        <v>75</v>
      </c>
      <c r="B48" s="33">
        <f t="shared" si="0"/>
        <v>70.832669322709165</v>
      </c>
      <c r="C48" s="33">
        <f>B48*10</f>
        <v>708.32669322709171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7798.1220244187862</v>
      </c>
      <c r="C5" s="17">
        <f>IF(ISERROR('Eigen informatie GS &amp; warmtenet'!B58),0,'Eigen informatie GS &amp; warmtenet'!B58)</f>
        <v>0</v>
      </c>
      <c r="D5" s="30">
        <f>SUM(D6:D12)</f>
        <v>7467.0475365255124</v>
      </c>
      <c r="E5" s="17">
        <f>SUM(E6:E12)</f>
        <v>66.016690857176968</v>
      </c>
      <c r="F5" s="17">
        <f>SUM(F6:F12)</f>
        <v>1531.6549251161223</v>
      </c>
      <c r="G5" s="18"/>
      <c r="H5" s="17"/>
      <c r="I5" s="17"/>
      <c r="J5" s="17">
        <f>SUM(J6:J12)</f>
        <v>6.0493367912888805E-2</v>
      </c>
      <c r="K5" s="17"/>
      <c r="L5" s="17"/>
      <c r="M5" s="17"/>
      <c r="N5" s="17">
        <f>SUM(N6:N12)</f>
        <v>2385.9776164995201</v>
      </c>
      <c r="O5" s="17">
        <f>B38*B39*B40</f>
        <v>1.5633333333333335</v>
      </c>
      <c r="P5" s="17">
        <f>B46*B47*B48/1000-B46*B47*B48/1000/B49</f>
        <v>19.066666666666666</v>
      </c>
      <c r="R5" s="32"/>
    </row>
    <row r="6" spans="1:18">
      <c r="A6" s="32" t="s">
        <v>54</v>
      </c>
      <c r="B6" s="37">
        <f>B26</f>
        <v>979.66279760023599</v>
      </c>
      <c r="C6" s="33"/>
      <c r="D6" s="37">
        <f>IF(ISERROR(TER_kantoor_gas_kWh/1000),0,TER_kantoor_gas_kWh/1000)*0.902</f>
        <v>2738.7021090822827</v>
      </c>
      <c r="E6" s="33">
        <f>$C$26*'E Balans VL '!I12/100/3.6*1000000</f>
        <v>6.1402005846163954E-3</v>
      </c>
      <c r="F6" s="33">
        <f>$C$26*('E Balans VL '!L12+'E Balans VL '!N12)/100/3.6*1000000</f>
        <v>147.21594408995202</v>
      </c>
      <c r="G6" s="34"/>
      <c r="H6" s="33"/>
      <c r="I6" s="33"/>
      <c r="J6" s="33">
        <f>$C$26*('E Balans VL '!D12+'E Balans VL '!E12)/100/3.6*1000000</f>
        <v>0</v>
      </c>
      <c r="K6" s="33"/>
      <c r="L6" s="33"/>
      <c r="M6" s="33"/>
      <c r="N6" s="33">
        <f>$C$26*'E Balans VL '!Y12/100/3.6*1000000</f>
        <v>0.93690221495443726</v>
      </c>
      <c r="O6" s="33"/>
      <c r="P6" s="33"/>
      <c r="R6" s="32"/>
    </row>
    <row r="7" spans="1:18">
      <c r="A7" s="32" t="s">
        <v>53</v>
      </c>
      <c r="B7" s="37">
        <f t="shared" ref="B7:B12" si="0">B27</f>
        <v>306.87037988211205</v>
      </c>
      <c r="C7" s="33"/>
      <c r="D7" s="37">
        <f>IF(ISERROR(TER_horeca_gas_kWh/1000),0,TER_horeca_gas_kWh/1000)*0.902</f>
        <v>535.49869806810545</v>
      </c>
      <c r="E7" s="33">
        <f>$C$27*'E Balans VL '!I9/100/3.6*1000000</f>
        <v>4.3943327250642836</v>
      </c>
      <c r="F7" s="33">
        <f>$C$27*('E Balans VL '!L9+'E Balans VL '!N9)/100/3.6*1000000</f>
        <v>38.859911068123218</v>
      </c>
      <c r="G7" s="34"/>
      <c r="H7" s="33"/>
      <c r="I7" s="33"/>
      <c r="J7" s="33">
        <f>$C$27*('E Balans VL '!D9+'E Balans VL '!E9)/100/3.6*1000000</f>
        <v>0</v>
      </c>
      <c r="K7" s="33"/>
      <c r="L7" s="33"/>
      <c r="M7" s="33"/>
      <c r="N7" s="33">
        <f>$C$27*'E Balans VL '!Y9/100/3.6*1000000</f>
        <v>8.8218468305014369E-2</v>
      </c>
      <c r="O7" s="33"/>
      <c r="P7" s="33"/>
      <c r="R7" s="32"/>
    </row>
    <row r="8" spans="1:18">
      <c r="A8" s="6" t="s">
        <v>52</v>
      </c>
      <c r="B8" s="37">
        <f t="shared" si="0"/>
        <v>786.15101176465498</v>
      </c>
      <c r="C8" s="33"/>
      <c r="D8" s="37">
        <f>IF(ISERROR(TER_handel_gas_kWh/1000),0,TER_handel_gas_kWh/1000)*0.902</f>
        <v>360.98767798064586</v>
      </c>
      <c r="E8" s="33">
        <f>$C$28*'E Balans VL '!I13/100/3.6*1000000</f>
        <v>28.513600252904499</v>
      </c>
      <c r="F8" s="33">
        <f>$C$28*('E Balans VL '!L13+'E Balans VL '!N13)/100/3.6*1000000</f>
        <v>151.42064515096581</v>
      </c>
      <c r="G8" s="34"/>
      <c r="H8" s="33"/>
      <c r="I8" s="33"/>
      <c r="J8" s="33">
        <f>$C$28*('E Balans VL '!D13+'E Balans VL '!E13)/100/3.6*1000000</f>
        <v>0</v>
      </c>
      <c r="K8" s="33"/>
      <c r="L8" s="33"/>
      <c r="M8" s="33"/>
      <c r="N8" s="33">
        <f>$C$28*'E Balans VL '!Y13/100/3.6*1000000</f>
        <v>1.0890000365746126</v>
      </c>
      <c r="O8" s="33"/>
      <c r="P8" s="33"/>
      <c r="R8" s="32"/>
    </row>
    <row r="9" spans="1:18">
      <c r="A9" s="32" t="s">
        <v>51</v>
      </c>
      <c r="B9" s="37">
        <f t="shared" si="0"/>
        <v>788.363530748774</v>
      </c>
      <c r="C9" s="33"/>
      <c r="D9" s="37">
        <f>IF(ISERROR(TER_gezond_gas_kWh/1000),0,TER_gezond_gas_kWh/1000)*0.902</f>
        <v>962.65768160169864</v>
      </c>
      <c r="E9" s="33">
        <f>$C$29*'E Balans VL '!I10/100/3.6*1000000</f>
        <v>4.9359340708535628E-2</v>
      </c>
      <c r="F9" s="33">
        <f>$C$29*('E Balans VL '!L10+'E Balans VL '!N10)/100/3.6*1000000</f>
        <v>117.11380283108537</v>
      </c>
      <c r="G9" s="34"/>
      <c r="H9" s="33"/>
      <c r="I9" s="33"/>
      <c r="J9" s="33">
        <f>$C$29*('E Balans VL '!D10+'E Balans VL '!E10)/100/3.6*1000000</f>
        <v>0</v>
      </c>
      <c r="K9" s="33"/>
      <c r="L9" s="33"/>
      <c r="M9" s="33"/>
      <c r="N9" s="33">
        <f>$C$29*'E Balans VL '!Y10/100/3.6*1000000</f>
        <v>12.194483164200225</v>
      </c>
      <c r="O9" s="33"/>
      <c r="P9" s="33"/>
      <c r="R9" s="32"/>
    </row>
    <row r="10" spans="1:18">
      <c r="A10" s="32" t="s">
        <v>50</v>
      </c>
      <c r="B10" s="37">
        <f t="shared" si="0"/>
        <v>2516.94261096729</v>
      </c>
      <c r="C10" s="33"/>
      <c r="D10" s="37">
        <f>IF(ISERROR(TER_ander_gas_kWh/1000),0,TER_ander_gas_kWh/1000)*0.902</f>
        <v>329.79879205986714</v>
      </c>
      <c r="E10" s="33">
        <f>$C$30*'E Balans VL '!I14/100/3.6*1000000</f>
        <v>3.0001056519413392</v>
      </c>
      <c r="F10" s="33">
        <f>$C$30*('E Balans VL '!L14+'E Balans VL '!N14)/100/3.6*1000000</f>
        <v>658.54408150898257</v>
      </c>
      <c r="G10" s="34"/>
      <c r="H10" s="33"/>
      <c r="I10" s="33"/>
      <c r="J10" s="33">
        <f>$C$30*('E Balans VL '!D14+'E Balans VL '!E14)/100/3.6*1000000</f>
        <v>5.4632957941488411E-2</v>
      </c>
      <c r="K10" s="33"/>
      <c r="L10" s="33"/>
      <c r="M10" s="33"/>
      <c r="N10" s="33">
        <f>$C$30*'E Balans VL '!Y14/100/3.6*1000000</f>
        <v>2137.3260765146551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2420.1316934557199</v>
      </c>
      <c r="C12" s="33"/>
      <c r="D12" s="37">
        <f>IF(ISERROR(TER_rest_gas_kWh/1000),0,TER_rest_gas_kWh/1000)*0.902</f>
        <v>2539.4025777329125</v>
      </c>
      <c r="E12" s="33">
        <f>$C$32*'E Balans VL '!I8/100/3.6*1000000</f>
        <v>30.0531526859737</v>
      </c>
      <c r="F12" s="33">
        <f>$C$32*('E Balans VL '!L8+'E Balans VL '!N8)/100/3.6*1000000</f>
        <v>418.50054046701331</v>
      </c>
      <c r="G12" s="34"/>
      <c r="H12" s="33"/>
      <c r="I12" s="33"/>
      <c r="J12" s="33">
        <f>$C$32*('E Balans VL '!D8+'E Balans VL '!E8)/100/3.6*1000000</f>
        <v>5.860409971400392E-3</v>
      </c>
      <c r="K12" s="33"/>
      <c r="L12" s="33"/>
      <c r="M12" s="33"/>
      <c r="N12" s="33">
        <f>$C$32*'E Balans VL '!Y8/100/3.6*1000000</f>
        <v>234.34293610083046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7798.1220244187862</v>
      </c>
      <c r="C16" s="21">
        <f t="shared" ca="1" si="1"/>
        <v>0</v>
      </c>
      <c r="D16" s="21">
        <f t="shared" ca="1" si="1"/>
        <v>7467.0475365255124</v>
      </c>
      <c r="E16" s="21">
        <f t="shared" si="1"/>
        <v>66.016690857176968</v>
      </c>
      <c r="F16" s="21">
        <f t="shared" ca="1" si="1"/>
        <v>1531.6549251161223</v>
      </c>
      <c r="G16" s="21">
        <f t="shared" si="1"/>
        <v>0</v>
      </c>
      <c r="H16" s="21">
        <f t="shared" si="1"/>
        <v>0</v>
      </c>
      <c r="I16" s="21">
        <f t="shared" si="1"/>
        <v>0</v>
      </c>
      <c r="J16" s="21">
        <f t="shared" si="1"/>
        <v>6.0493367912888805E-2</v>
      </c>
      <c r="K16" s="21">
        <f t="shared" si="1"/>
        <v>0</v>
      </c>
      <c r="L16" s="21">
        <f t="shared" ca="1" si="1"/>
        <v>0</v>
      </c>
      <c r="M16" s="21">
        <f t="shared" si="1"/>
        <v>0</v>
      </c>
      <c r="N16" s="21">
        <f t="shared" ca="1" si="1"/>
        <v>2385.9776164995201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0.20350953866088184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1586.9922156107291</v>
      </c>
      <c r="C20" s="23">
        <f t="shared" ref="C20:P20" ca="1" si="2">C16*C18</f>
        <v>0</v>
      </c>
      <c r="D20" s="23">
        <f t="shared" ca="1" si="2"/>
        <v>1508.3436023781537</v>
      </c>
      <c r="E20" s="23">
        <f t="shared" si="2"/>
        <v>14.985788824579172</v>
      </c>
      <c r="F20" s="23">
        <f t="shared" ca="1" si="2"/>
        <v>408.95186500600465</v>
      </c>
      <c r="G20" s="23">
        <f t="shared" si="2"/>
        <v>0</v>
      </c>
      <c r="H20" s="23">
        <f t="shared" si="2"/>
        <v>0</v>
      </c>
      <c r="I20" s="23">
        <f t="shared" si="2"/>
        <v>0</v>
      </c>
      <c r="J20" s="23">
        <f t="shared" si="2"/>
        <v>2.1414652241162634E-2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979.66279760023599</v>
      </c>
      <c r="C26" s="39">
        <f>IF(ISERROR(B26*3.6/1000000/'E Balans VL '!Z12*100),0,B26*3.6/1000000/'E Balans VL '!Z12*100)</f>
        <v>2.0708519630041854E-2</v>
      </c>
      <c r="D26" s="237" t="s">
        <v>754</v>
      </c>
      <c r="F26" s="6"/>
    </row>
    <row r="27" spans="1:18">
      <c r="A27" s="231" t="s">
        <v>53</v>
      </c>
      <c r="B27" s="33">
        <f>IF(ISERROR(TER_horeca_ele_kWh/1000),0,TER_horeca_ele_kWh/1000)</f>
        <v>306.87037988211205</v>
      </c>
      <c r="C27" s="39">
        <f>IF(ISERROR(B27*3.6/1000000/'E Balans VL '!Z9*100),0,B27*3.6/1000000/'E Balans VL '!Z9*100)</f>
        <v>2.4190477669677184E-2</v>
      </c>
      <c r="D27" s="237" t="s">
        <v>754</v>
      </c>
      <c r="F27" s="6"/>
    </row>
    <row r="28" spans="1:18">
      <c r="A28" s="171" t="s">
        <v>52</v>
      </c>
      <c r="B28" s="33">
        <f>IF(ISERROR(TER_handel_ele_kWh/1000),0,TER_handel_ele_kWh/1000)</f>
        <v>786.15101176465498</v>
      </c>
      <c r="C28" s="39">
        <f>IF(ISERROR(B28*3.6/1000000/'E Balans VL '!Z13*100),0,B28*3.6/1000000/'E Balans VL '!Z13*100)</f>
        <v>2.2817278767433502E-2</v>
      </c>
      <c r="D28" s="237" t="s">
        <v>754</v>
      </c>
      <c r="F28" s="6"/>
    </row>
    <row r="29" spans="1:18">
      <c r="A29" s="231" t="s">
        <v>51</v>
      </c>
      <c r="B29" s="33">
        <f>IF(ISERROR(TER_gezond_ele_kWh/1000),0,TER_gezond_ele_kWh/1000)</f>
        <v>788.363530748774</v>
      </c>
      <c r="C29" s="39">
        <f>IF(ISERROR(B29*3.6/1000000/'E Balans VL '!Z10*100),0,B29*3.6/1000000/'E Balans VL '!Z10*100)</f>
        <v>8.3027625058725907E-2</v>
      </c>
      <c r="D29" s="237" t="s">
        <v>754</v>
      </c>
      <c r="F29" s="6"/>
    </row>
    <row r="30" spans="1:18">
      <c r="A30" s="231" t="s">
        <v>50</v>
      </c>
      <c r="B30" s="33">
        <f>IF(ISERROR(TER_ander_ele_kWh/1000),0,TER_ander_ele_kWh/1000)</f>
        <v>2516.94261096729</v>
      </c>
      <c r="C30" s="39">
        <f>IF(ISERROR(B30*3.6/1000000/'E Balans VL '!Z14*100),0,B30*3.6/1000000/'E Balans VL '!Z14*100)</f>
        <v>0.18565023366216304</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2420.1316934557199</v>
      </c>
      <c r="C32" s="39">
        <f>IF(ISERROR(B32*3.6/1000000/'E Balans VL '!Z8*100),0,B32*3.6/1000000/'E Balans VL '!Z8*100)</f>
        <v>1.9914471438866269E-2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766.61317546252235</v>
      </c>
      <c r="C5" s="17">
        <f>IF(ISERROR('Eigen informatie GS &amp; warmtenet'!B59),0,'Eigen informatie GS &amp; warmtenet'!B59)</f>
        <v>0</v>
      </c>
      <c r="D5" s="30">
        <f>SUM(D6:D15)</f>
        <v>864.60321928083636</v>
      </c>
      <c r="E5" s="17">
        <f>SUM(E6:E15)</f>
        <v>128.07959529782141</v>
      </c>
      <c r="F5" s="17">
        <f>SUM(F6:F15)</f>
        <v>371.60505580180029</v>
      </c>
      <c r="G5" s="18"/>
      <c r="H5" s="17"/>
      <c r="I5" s="17"/>
      <c r="J5" s="17">
        <f>SUM(J6:J15)</f>
        <v>1.1588138179435545</v>
      </c>
      <c r="K5" s="17"/>
      <c r="L5" s="17"/>
      <c r="M5" s="17"/>
      <c r="N5" s="17">
        <f>SUM(N6:N15)</f>
        <v>198.06616822671427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57.8430444192254</v>
      </c>
      <c r="C8" s="33"/>
      <c r="D8" s="37">
        <f>IF( ISERROR(IND_metaal_Gas_kWH/1000),0,IND_metaal_Gas_kWH/1000)*0.902</f>
        <v>0</v>
      </c>
      <c r="E8" s="33">
        <f>C30*'E Balans VL '!I18/100/3.6*1000000</f>
        <v>0.53181092809119657</v>
      </c>
      <c r="F8" s="33">
        <f>C30*'E Balans VL '!L18/100/3.6*1000000+C30*'E Balans VL '!N18/100/3.6*1000000</f>
        <v>5.4237517766373458</v>
      </c>
      <c r="G8" s="34"/>
      <c r="H8" s="33"/>
      <c r="I8" s="33"/>
      <c r="J8" s="40">
        <f>C30*'E Balans VL '!D18/100/3.6*1000000+C30*'E Balans VL '!E18/100/3.6*1000000</f>
        <v>0</v>
      </c>
      <c r="K8" s="33"/>
      <c r="L8" s="33"/>
      <c r="M8" s="33"/>
      <c r="N8" s="33">
        <f>C30*'E Balans VL '!Y18/100/3.6*1000000</f>
        <v>0.82522661829653388</v>
      </c>
      <c r="O8" s="33"/>
      <c r="P8" s="33"/>
      <c r="R8" s="32"/>
    </row>
    <row r="9" spans="1:18">
      <c r="A9" s="6" t="s">
        <v>33</v>
      </c>
      <c r="B9" s="37">
        <f t="shared" si="0"/>
        <v>375.116009167713</v>
      </c>
      <c r="C9" s="33"/>
      <c r="D9" s="37">
        <f>IF( ISERROR(IND_andere_gas_kWh/1000),0,IND_andere_gas_kWh/1000)*0.902</f>
        <v>189.75320147516334</v>
      </c>
      <c r="E9" s="33">
        <f>C31*'E Balans VL '!I19/100/3.6*1000000</f>
        <v>109.65371212707873</v>
      </c>
      <c r="F9" s="33">
        <f>C31*'E Balans VL '!L19/100/3.6*1000000+C31*'E Balans VL '!N19/100/3.6*1000000</f>
        <v>301.4341070391726</v>
      </c>
      <c r="G9" s="34"/>
      <c r="H9" s="33"/>
      <c r="I9" s="33"/>
      <c r="J9" s="40">
        <f>C31*'E Balans VL '!D19/100/3.6*1000000+C31*'E Balans VL '!E19/100/3.6*1000000</f>
        <v>0</v>
      </c>
      <c r="K9" s="33"/>
      <c r="L9" s="33"/>
      <c r="M9" s="33"/>
      <c r="N9" s="33">
        <f>C31*'E Balans VL '!Y19/100/3.6*1000000</f>
        <v>123.94414706584379</v>
      </c>
      <c r="O9" s="33"/>
      <c r="P9" s="33"/>
      <c r="R9" s="32"/>
    </row>
    <row r="10" spans="1:18">
      <c r="A10" s="6" t="s">
        <v>41</v>
      </c>
      <c r="B10" s="37">
        <f t="shared" si="0"/>
        <v>9.9613919415010006</v>
      </c>
      <c r="C10" s="33"/>
      <c r="D10" s="37">
        <f>IF( ISERROR(IND_voed_gas_kWh/1000),0,IND_voed_gas_kWh/1000)*0.902</f>
        <v>0</v>
      </c>
      <c r="E10" s="33">
        <f>C32*'E Balans VL '!I20/100/3.6*1000000</f>
        <v>2.1073479105456743E-2</v>
      </c>
      <c r="F10" s="33">
        <f>C32*'E Balans VL '!L20/100/3.6*1000000+C32*'E Balans VL '!N20/100/3.6*1000000</f>
        <v>0.63335547490411692</v>
      </c>
      <c r="G10" s="34"/>
      <c r="H10" s="33"/>
      <c r="I10" s="33"/>
      <c r="J10" s="40">
        <f>C32*'E Balans VL '!D20/100/3.6*1000000+C32*'E Balans VL '!E20/100/3.6*1000000</f>
        <v>0</v>
      </c>
      <c r="K10" s="33"/>
      <c r="L10" s="33"/>
      <c r="M10" s="33"/>
      <c r="N10" s="33">
        <f>C32*'E Balans VL '!Y20/100/3.6*1000000</f>
        <v>0.68743434538120196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323.69272993408299</v>
      </c>
      <c r="C15" s="33"/>
      <c r="D15" s="37">
        <f>IF( ISERROR(IND_rest_gas_kWh/1000),0,IND_rest_gas_kWh/1000)*0.902</f>
        <v>674.85001780567302</v>
      </c>
      <c r="E15" s="33">
        <f>C37*'E Balans VL '!I15/100/3.6*1000000</f>
        <v>17.872998763546022</v>
      </c>
      <c r="F15" s="33">
        <f>C37*'E Balans VL '!L15/100/3.6*1000000+C37*'E Balans VL '!N15/100/3.6*1000000</f>
        <v>64.113841511086221</v>
      </c>
      <c r="G15" s="34"/>
      <c r="H15" s="33"/>
      <c r="I15" s="33"/>
      <c r="J15" s="40">
        <f>C37*'E Balans VL '!D15/100/3.6*1000000+C37*'E Balans VL '!E15/100/3.6*1000000</f>
        <v>1.1588138179435545</v>
      </c>
      <c r="K15" s="33"/>
      <c r="L15" s="33"/>
      <c r="M15" s="33"/>
      <c r="N15" s="33">
        <f>C37*'E Balans VL '!Y15/100/3.6*1000000</f>
        <v>72.609360197192728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766.61317546252235</v>
      </c>
      <c r="C18" s="21">
        <f>C5+C16</f>
        <v>0</v>
      </c>
      <c r="D18" s="21">
        <f>MAX((D5+D16),0)</f>
        <v>864.60321928083636</v>
      </c>
      <c r="E18" s="21">
        <f>MAX((E5+E16),0)</f>
        <v>128.07959529782141</v>
      </c>
      <c r="F18" s="21">
        <f>MAX((F5+F16),0)</f>
        <v>371.60505580180029</v>
      </c>
      <c r="G18" s="21"/>
      <c r="H18" s="21"/>
      <c r="I18" s="21"/>
      <c r="J18" s="21">
        <f>MAX((J5+J16),0)</f>
        <v>1.1588138179435545</v>
      </c>
      <c r="K18" s="21"/>
      <c r="L18" s="21">
        <f>MAX((L5+L16),0)</f>
        <v>0</v>
      </c>
      <c r="M18" s="21"/>
      <c r="N18" s="21">
        <f>MAX((N5+N16),0)</f>
        <v>198.06616822671427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0.20350953866088184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156.01309366973157</v>
      </c>
      <c r="C22" s="23">
        <f ca="1">C18*C20</f>
        <v>0</v>
      </c>
      <c r="D22" s="23">
        <f>D18*D20</f>
        <v>174.64985029472896</v>
      </c>
      <c r="E22" s="23">
        <f>E18*E20</f>
        <v>29.074068132605461</v>
      </c>
      <c r="F22" s="23">
        <f>F18*F20</f>
        <v>99.218549899080685</v>
      </c>
      <c r="G22" s="23"/>
      <c r="H22" s="23"/>
      <c r="I22" s="23"/>
      <c r="J22" s="23">
        <f>J18*J20</f>
        <v>0.41022009155201827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57.8430444192254</v>
      </c>
      <c r="C30" s="39">
        <f>IF(ISERROR(B30*3.6/1000000/'E Balans VL '!Z18*100),0,B30*3.6/1000000/'E Balans VL '!Z18*100)</f>
        <v>3.2781136465041927E-3</v>
      </c>
      <c r="D30" s="237" t="s">
        <v>754</v>
      </c>
    </row>
    <row r="31" spans="1:18">
      <c r="A31" s="6" t="s">
        <v>33</v>
      </c>
      <c r="B31" s="37">
        <f>IF( ISERROR(IND_ander_ele_kWh/1000),0,IND_ander_ele_kWh/1000)</f>
        <v>375.116009167713</v>
      </c>
      <c r="C31" s="39">
        <f>IF(ISERROR(B31*3.6/1000000/'E Balans VL '!Z19*100),0,B31*3.6/1000000/'E Balans VL '!Z19*100)</f>
        <v>1.7013700219970652E-2</v>
      </c>
      <c r="D31" s="237" t="s">
        <v>754</v>
      </c>
    </row>
    <row r="32" spans="1:18">
      <c r="A32" s="171" t="s">
        <v>41</v>
      </c>
      <c r="B32" s="37">
        <f>IF( ISERROR(IND_voed_ele_kWh/1000),0,IND_voed_ele_kWh/1000)</f>
        <v>9.9613919415010006</v>
      </c>
      <c r="C32" s="39">
        <f>IF(ISERROR(B32*3.6/1000000/'E Balans VL '!Z20*100),0,B32*3.6/1000000/'E Balans VL '!Z20*100)</f>
        <v>3.0815107365179126E-4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323.69272993408299</v>
      </c>
      <c r="C37" s="39">
        <f>IF(ISERROR(B37*3.6/1000000/'E Balans VL '!Z15*100),0,B37*3.6/1000000/'E Balans VL '!Z15*100)</f>
        <v>2.5656624172072191E-3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220.24564642463591</v>
      </c>
      <c r="C5" s="17">
        <f>'Eigen informatie GS &amp; warmtenet'!B60</f>
        <v>0</v>
      </c>
      <c r="D5" s="30">
        <f>IF(ISERROR(SUM(LB_lb_gas_kWh,LB_rest_gas_kWh)/1000),0,SUM(LB_lb_gas_kWh,LB_rest_gas_kWh)/1000)*0.902</f>
        <v>296.90081631793407</v>
      </c>
      <c r="E5" s="17">
        <f>B17*'E Balans VL '!I25/3.6*1000000/100</f>
        <v>6.4736922562691781</v>
      </c>
      <c r="F5" s="17">
        <f>B17*('E Balans VL '!L25/3.6*1000000+'E Balans VL '!N25/3.6*1000000)/100</f>
        <v>917.53146155497973</v>
      </c>
      <c r="G5" s="18"/>
      <c r="H5" s="17"/>
      <c r="I5" s="17"/>
      <c r="J5" s="17">
        <f>('E Balans VL '!D25+'E Balans VL '!E25)/3.6*1000000*landbouw!B17/100</f>
        <v>31.90886433753095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220.24564642463591</v>
      </c>
      <c r="C8" s="21">
        <f>C5+C6</f>
        <v>0</v>
      </c>
      <c r="D8" s="21">
        <f>MAX((D5+D6),0)</f>
        <v>296.90081631793407</v>
      </c>
      <c r="E8" s="21">
        <f>MAX((E5+E6),0)</f>
        <v>6.4736922562691781</v>
      </c>
      <c r="F8" s="21">
        <f>MAX((F5+F6),0)</f>
        <v>917.53146155497973</v>
      </c>
      <c r="G8" s="21"/>
      <c r="H8" s="21"/>
      <c r="I8" s="21"/>
      <c r="J8" s="21">
        <f>MAX((J5+J6),0)</f>
        <v>31.90886433753095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0.20350953866088184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44.822089895945354</v>
      </c>
      <c r="C12" s="23">
        <f ca="1">C8*C10</f>
        <v>0</v>
      </c>
      <c r="D12" s="23">
        <f>D8*D10</f>
        <v>59.973964896222689</v>
      </c>
      <c r="E12" s="23">
        <f>E8*E10</f>
        <v>1.4695281421731035</v>
      </c>
      <c r="F12" s="23">
        <f>F8*F10</f>
        <v>244.9809002351796</v>
      </c>
      <c r="G12" s="23"/>
      <c r="H12" s="23"/>
      <c r="I12" s="23"/>
      <c r="J12" s="23">
        <f>J8*J10</f>
        <v>11.295737975485956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3.1253548227298152E-2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102.58909009167468</v>
      </c>
      <c r="C26" s="247">
        <f>B26*'GWP N2O_CH4'!B5</f>
        <v>2154.3708919251681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8.0593720863034122</v>
      </c>
      <c r="C27" s="247">
        <f>B27*'GWP N2O_CH4'!B5</f>
        <v>169.24681381237167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1.4710971316716661</v>
      </c>
      <c r="C28" s="247">
        <f>B28*'GWP N2O_CH4'!B4</f>
        <v>456.04011081821648</v>
      </c>
      <c r="D28" s="50"/>
    </row>
    <row r="29" spans="1:4">
      <c r="A29" s="41" t="s">
        <v>277</v>
      </c>
      <c r="B29" s="247">
        <f>B34*'ha_N2O bodem landbouw'!B4</f>
        <v>11.999329017283303</v>
      </c>
      <c r="C29" s="247">
        <f>B29*'GWP N2O_CH4'!B4</f>
        <v>3719.7919953578239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2.7382055302166476E-3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3.5486058971724685E-4</v>
      </c>
      <c r="C5" s="463" t="s">
        <v>211</v>
      </c>
      <c r="D5" s="448">
        <f>SUM(D6:D11)</f>
        <v>1.2052739775904903E-3</v>
      </c>
      <c r="E5" s="448">
        <f>SUM(E6:E11)</f>
        <v>1.8847489940367393E-3</v>
      </c>
      <c r="F5" s="461" t="s">
        <v>211</v>
      </c>
      <c r="G5" s="448">
        <f>SUM(G6:G11)</f>
        <v>0.60426231045266365</v>
      </c>
      <c r="H5" s="448">
        <f>SUM(H6:H11)</f>
        <v>0.14007407810543182</v>
      </c>
      <c r="I5" s="463" t="s">
        <v>211</v>
      </c>
      <c r="J5" s="463" t="s">
        <v>211</v>
      </c>
      <c r="K5" s="463" t="s">
        <v>211</v>
      </c>
      <c r="L5" s="463" t="s">
        <v>211</v>
      </c>
      <c r="M5" s="448">
        <f>SUM(M6:M11)</f>
        <v>3.9436418085327808E-2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5.9479751325420645E-5</v>
      </c>
      <c r="C6" s="449"/>
      <c r="D6" s="892">
        <f>vkm_2011_GW_PW*SUMIFS(TableVerdeelsleutelVkm[CNG],TableVerdeelsleutelVkm[Voertuigtype],"Lichte voertuigen")*SUMIFS(TableECFTransport[EnergieConsumptieFactor (PJ per km)],TableECFTransport[Index],CONCATENATE($A6,"_CNG_CNG"))</f>
        <v>1.7840511570425203E-4</v>
      </c>
      <c r="E6" s="892">
        <f>vkm_2011_GW_PW*SUMIFS(TableVerdeelsleutelVkm[LPG],TableVerdeelsleutelVkm[Voertuigtype],"Lichte voertuigen")*SUMIFS(TableECFTransport[EnergieConsumptieFactor (PJ per km)],TableECFTransport[Index],CONCATENATE($A6,"_LPG_LPG"))</f>
        <v>2.43727014683941E-4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6.3016633377261516E-2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2.0291529086506836E-2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4.280312257198513E-3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5.2995338056488778E-3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1.6151902168876701E-6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3.0968687598993433E-4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4.5595001531210149E-5</v>
      </c>
      <c r="C8" s="449"/>
      <c r="D8" s="451">
        <f>vkm_2011_NGW_PW*SUMIFS(TableVerdeelsleutelVkm[CNG],TableVerdeelsleutelVkm[Voertuigtype],"Lichte voertuigen")*SUMIFS(TableECFTransport[EnergieConsumptieFactor (PJ per km)],TableECFTransport[Index],CONCATENATE($A8,"_CNG_CNG"))</f>
        <v>2.4315874143950671E-4</v>
      </c>
      <c r="E8" s="451">
        <f>vkm_2011_NGW_PW*SUMIFS(TableVerdeelsleutelVkm[LPG],TableVerdeelsleutelVkm[Voertuigtype],"Lichte voertuigen")*SUMIFS(TableECFTransport[EnergieConsumptieFactor (PJ per km)],TableECFTransport[Index],CONCATENATE($A8,"_LPG_LPG"))</f>
        <v>3.0764542078916322E-4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7.4125662583628252E-2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2.6876069111570686E-2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5.123565333558712E-3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4.6676587453334762E-3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1.3392620340981696E-6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2.7275977142338293E-4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2.4978583686061605E-4</v>
      </c>
      <c r="C10" s="449"/>
      <c r="D10" s="451">
        <f>vkm_2011_SW_PW*SUMIFS(TableVerdeelsleutelVkm[CNG],TableVerdeelsleutelVkm[Voertuigtype],"Lichte voertuigen")*SUMIFS(TableECFTransport[EnergieConsumptieFactor (PJ per km)],TableECFTransport[Index],CONCATENATE($A10,"_CNG_CNG"))</f>
        <v>7.8371012044673154E-4</v>
      </c>
      <c r="E10" s="451">
        <f>vkm_2011_SW_PW*SUMIFS(TableVerdeelsleutelVkm[LPG],TableVerdeelsleutelVkm[Voertuigtype],"Lichte voertuigen")*SUMIFS(TableECFTransport[EnergieConsumptieFactor (PJ per km)],TableECFTransport[Index],CONCATENATE($A10,"_LPG_LPG"))</f>
        <v>1.3333765585636351E-3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0.30734631777696952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9.2854219859973025E-2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2.0695799593701408E-2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0.14980650416382196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4.9305595130273604E-5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8.754294253455858E-3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98.572386032568559</v>
      </c>
      <c r="C14" s="21"/>
      <c r="D14" s="21">
        <f t="shared" ref="D14:M14" si="0">((D5)*10^9/3600)+D12</f>
        <v>334.79832710846955</v>
      </c>
      <c r="E14" s="21">
        <f t="shared" si="0"/>
        <v>523.54138723242761</v>
      </c>
      <c r="F14" s="21"/>
      <c r="G14" s="21">
        <f t="shared" si="0"/>
        <v>167850.64179240656</v>
      </c>
      <c r="H14" s="21">
        <f t="shared" si="0"/>
        <v>38909.46614039773</v>
      </c>
      <c r="I14" s="21"/>
      <c r="J14" s="21"/>
      <c r="K14" s="21"/>
      <c r="L14" s="21"/>
      <c r="M14" s="21">
        <f t="shared" si="0"/>
        <v>10954.560579257726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0.20350953866088184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20.060420806190379</v>
      </c>
      <c r="C18" s="23"/>
      <c r="D18" s="23">
        <f t="shared" ref="D18:M18" si="1">D14*D16</f>
        <v>67.629262075910859</v>
      </c>
      <c r="E18" s="23">
        <f t="shared" si="1"/>
        <v>118.84389490176108</v>
      </c>
      <c r="F18" s="23"/>
      <c r="G18" s="23">
        <f t="shared" si="1"/>
        <v>44816.121358572556</v>
      </c>
      <c r="H18" s="23">
        <f t="shared" si="1"/>
        <v>9688.4570689590346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1.142319888196036E-2</v>
      </c>
      <c r="H50" s="321">
        <f t="shared" si="2"/>
        <v>0</v>
      </c>
      <c r="I50" s="321">
        <f t="shared" si="2"/>
        <v>0</v>
      </c>
      <c r="J50" s="321">
        <f t="shared" si="2"/>
        <v>0</v>
      </c>
      <c r="K50" s="321">
        <f t="shared" si="2"/>
        <v>0</v>
      </c>
      <c r="L50" s="321">
        <f t="shared" si="2"/>
        <v>0</v>
      </c>
      <c r="M50" s="321">
        <f t="shared" si="2"/>
        <v>6.4878726791132784E-4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1.142319888196036E-2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6.4878726791132784E-4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3173.1108005445444</v>
      </c>
      <c r="H54" s="21">
        <f t="shared" si="3"/>
        <v>0</v>
      </c>
      <c r="I54" s="21">
        <f t="shared" si="3"/>
        <v>0</v>
      </c>
      <c r="J54" s="21">
        <f t="shared" si="3"/>
        <v>0</v>
      </c>
      <c r="K54" s="21">
        <f t="shared" si="3"/>
        <v>0</v>
      </c>
      <c r="L54" s="21">
        <f t="shared" si="3"/>
        <v>0</v>
      </c>
      <c r="M54" s="21">
        <f t="shared" si="3"/>
        <v>180.2186855309244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0.20350953866088184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847.22058374539336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2099.9110546135339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2099.9110546135339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2019-08-12T08:32:40Z</dcterms:modified>
</cp:coreProperties>
</file>