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<sst xmlns="http://schemas.openxmlformats.org/spreadsheetml/2006/main" count="2390" uniqueCount="885">
  <si>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</si>
  <si>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</si>
  <si>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</si>
  <si>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</si>
  <si>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</si>
  <si>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</si>
  <si>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</si>
  <si>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</si>
  <si>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</si>
  <si>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</si>
  <si>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</si>
  <si>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</si>
  <si>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</si>
  <si>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</si>
  <si>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</si>
  <si>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</si>
  <si>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</si>
  <si>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</si>
  <si>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</si>
  <si>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</si>
  <si>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</si>
  <si>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</si>
  <si>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</si>
  <si>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</si>
  <si>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</si>
  <si>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</si>
  <si>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</si>
  <si>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</si>
  <si>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</si>
  <si>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</si>
  <si>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</si>
  <si>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</si>
  <si>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</si>
  <si>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</si>
  <si>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</si>
  <si>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</si>
  <si>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</si>
  <si>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</si>
  <si>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</si>
  <si>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</si>
  <si>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</si>
  <si>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</si>
  <si>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</si>
  <si>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</si>
  <si>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</si>
  <si>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</si>
  <si>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</si>
  <si>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</si>
  <si>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</si>
  <si>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</si>
  <si>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</si>
  <si>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</si>
  <si>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</si>
  <si>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</si>
  <si>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</si>
  <si>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</si>
  <si>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</si>
  <si>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</si>
  <si>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</si>
  <si>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</si>
  <si>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</si>
  <si>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</si>
  <si>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</si>
  <si>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</si>
  <si>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</si>
  <si>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</si>
  <si>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</si>
  <si>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</si>
  <si>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</si>
  <si>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</si>
  <si>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</si>
  <si>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</si>
  <si>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</si>
  <si>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</si>
  <si>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</si>
  <si>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</si>
  <si>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</si>
  <si>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</si>
  <si>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</si>
  <si>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</si>
  <si>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</si>
  <si>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</si>
  <si>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</si>
  <si>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</si>
  <si>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</si>
  <si>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</si>
  <si>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</si>
  <si>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</si>
  <si>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</si>
  <si>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</si>
  <si>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</si>
  <si>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</si>
  <si>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</si>
  <si>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</si>
  <si>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</si>
  <si>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</si>
  <si>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</si>
  <si>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</si>
  <si>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</si>
  <si>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</si>
  <si>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</si>
  <si>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</si>
  <si>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</si>
  <si>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</si>
  <si>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</si>
  <si>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</si>
  <si>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</si>
  <si>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</si>
  <si>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</si>
  <si>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</si>
  <si>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</si>
  <si>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</si>
  <si>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</si>
  <si>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</si>
  <si>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</si>
  <si>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</si>
  <si>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</si>
  <si>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</si>
  <si>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</si>
  <si>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</si>
  <si>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</si>
  <si>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</si>
  <si>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</si>
  <si>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</si>
  <si>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</si>
  <si>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</si>
  <si>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</si>
  <si>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</si>
  <si>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</si>
  <si>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</si>
  <si>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</si>
  <si>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</si>
  <si>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</si>
  <si>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</si>
  <si>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</si>
  <si>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</si>
  <si>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</si>
  <si>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</si>
  <si>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</si>
  <si>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</si>
  <si>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</si>
  <si>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</si>
  <si>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</si>
  <si>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</si>
  <si>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</si>
  <si>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</si>
  <si>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</si>
  <si>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</si>
  <si>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</si>
  <si>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</si>
  <si>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</si>
  <si>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</si>
  <si>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</si>
  <si>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</si>
  <si>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</si>
  <si>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</si>
  <si>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</si>
  <si>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</si>
  <si>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</si>
  <si>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</si>
  <si>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</si>
  <si>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</si>
  <si>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</si>
  <si>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</si>
  <si>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</si>
  <si>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</si>
  <si>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</si>
  <si>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</si>
  <si>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</si>
  <si>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</si>
  <si>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</si>
  <si>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</si>
  <si>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</si>
  <si>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</si>
  <si>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</si>
  <si>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</si>
  <si>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</si>
  <si>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</si>
  <si>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</si>
  <si>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</si>
  <si>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</si>
  <si>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</si>
  <si>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</si>
  <si>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</si>
  <si>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</si>
  <si>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</si>
  <si>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</si>
  <si>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</si>
  <si>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</si>
  <si>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</si>
  <si>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</si>
  <si>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</si>
  <si>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</si>
  <si>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</si>
  <si>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</si>
  <si>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</si>
  <si>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</si>
  <si>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</si>
  <si>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</si>
  <si>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</si>
  <si>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</si>
  <si>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</si>
  <si>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</si>
  <si>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</si>
  <si>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</si>
  <si>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</si>
  <si>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</si>
  <si>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</si>
  <si>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</si>
  <si>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</si>
  <si>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</si>
  <si>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</si>
  <si>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</si>
  <si>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</si>
  <si>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</si>
  <si>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</si>
  <si>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</si>
  <si>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</si>
  <si>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</si>
  <si>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</si>
  <si>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</si>
  <si>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</si>
  <si>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</si>
  <si>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</si>
  <si>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</si>
  <si>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</si>
  <si>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</si>
  <si>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</si>
  <si>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</si>
  <si>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</si>
  <si>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</si>
  <si>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</si>
  <si>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</si>
  <si>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</si>
  <si>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</si>
  <si>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</si>
  <si>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</si>
  <si>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</si>
  <si>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</si>
  <si>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</si>
  <si>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</si>
  <si>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</si>
  <si>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</si>
  <si>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</si>
  <si>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</si>
  <si>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</si>
  <si>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</si>
  <si>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</si>
  <si>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</si>
  <si>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</si>
  <si>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</si>
  <si>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</si>
  <si>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</si>
  <si>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</si>
  <si>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</si>
  <si>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</si>
  <si>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</si>
  <si>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</si>
  <si>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</si>
  <si>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</si>
  <si>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</si>
  <si>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</si>
  <si>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</si>
  <si>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</si>
  <si>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</si>
  <si>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</si>
  <si>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</si>
  <si>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</si>
  <si>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</si>
  <si>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</si>
  <si>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</si>
  <si>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</si>
  <si>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</si>
  <si>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</si>
  <si>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</si>
  <si>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</si>
  <si>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</si>
  <si>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</si>
  <si>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</si>
  <si>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</si>
  <si>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</si>
  <si>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</si>
  <si>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</si>
  <si>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</si>
  <si>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</si>
  <si>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</si>
  <si>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</si>
  <si>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</si>
  <si>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</si>
  <si>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</si>
  <si>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</si>
  <si>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</si>
  <si>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</si>
  <si>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</si>
  <si>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</si>
  <si>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</si>
  <si>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</si>
  <si>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</si>
  <si>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</si>
  <si>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</si>
  <si>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</si>
  <si>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</si>
  <si>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</si>
  <si>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</si>
  <si>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</si>
  <si>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</si>
  <si>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</si>
  <si>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</si>
  <si>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</si>
  <si>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</si>
  <si>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</si>
  <si>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</si>
  <si>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</si>
  <si>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</si>
  <si>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</si>
  <si>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</si>
  <si>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</si>
  <si>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</si>
  <si>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</si>
  <si>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</si>
  <si>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</si>
  <si>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</si>
  <si>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</si>
  <si>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</si>
  <si>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</si>
  <si>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</si>
  <si>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</si>
  <si>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</si>
  <si>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</si>
  <si>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</si>
  <si>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</si>
  <si>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</si>
  <si>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</si>
  <si>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</si>
  <si>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</si>
  <si>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</si>
  <si>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</si>
  <si>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</si>
  <si>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</si>
  <si>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</si>
  <si>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</si>
  <si>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</si>
  <si>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</si>
  <si>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</si>
  <si>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</si>
  <si>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</si>
  <si>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</si>
  <si>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</si>
  <si>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</si>
  <si>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</si>
  <si>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</si>
  <si>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</si>
  <si>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</si>
  <si>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</si>
  <si>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</si>
  <si>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</si>
  <si>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</si>
  <si>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</si>
  <si>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</si>
  <si>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</si>
  <si>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</si>
  <si>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</si>
  <si>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</si>
  <si>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</si>
  <si>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</si>
  <si>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</si>
  <si>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</si>
  <si>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</si>
  <si>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</si>
  <si>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</si>
  <si>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</si>
  <si>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</si>
  <si>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</si>
  <si>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</si>
  <si>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</si>
  <si>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</si>
  <si>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</si>
  <si>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</si>
  <si>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</si>
  <si>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</si>
  <si>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</si>
  <si>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</si>
  <si>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</si>
  <si>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</si>
  <si>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</si>
  <si>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</si>
  <si>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</si>
  <si>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</si>
  <si>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</si>
  <si>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</si>
  <si>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</si>
  <si>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</si>
  <si>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</si>
  <si>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</si>
  <si>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</si>
  <si>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</si>
  <si>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</si>
  <si>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</si>
  <si>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</si>
  <si>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</si>
  <si>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</si>
  <si>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</si>
  <si>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</si>
  <si>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</si>
  <si>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</si>
  <si>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</si>
  <si>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</si>
  <si>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</si>
  <si>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</si>
  <si>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</si>
  <si>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</si>
  <si>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</si>
  <si>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</si>
  <si>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</si>
  <si>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</si>
  <si>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</si>
  <si>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</si>
  <si>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</si>
  <si>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</si>
  <si>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</si>
  <si>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</si>
  <si>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</si>
  <si>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</si>
  <si>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</si>
  <si>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</si>
  <si>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</si>
  <si>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</si>
  <si>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</si>
  <si>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</si>
  <si>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</si>
  <si>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</si>
  <si>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</si>
  <si>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</si>
  <si>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</si>
  <si>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</si>
  <si>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</si>
  <si>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</si>
  <si>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</si>
  <si>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</si>
  <si>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</si>
  <si>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</si>
  <si>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</si>
  <si>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</si>
  <si>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</si>
  <si>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</si>
  <si>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</si>
  <si>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</si>
  <si>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</si>
  <si>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</si>
  <si>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</si>
  <si>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</si>
  <si>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</si>
  <si>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</si>
  <si>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</si>
  <si>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</si>
  <si>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</si>
  <si>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</si>
  <si>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</si>
  <si>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</si>
  <si>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</si>
  <si>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</si>
  <si>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</si>
  <si>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</si>
  <si>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</si>
  <si>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</si>
  <si>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</si>
  <si>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</si>
  <si>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</si>
  <si>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</si>
  <si>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</si>
  <si>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</si>
  <si>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</si>
  <si>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</si>
  <si>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</si>
  <si>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</si>
  <si>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</si>
  <si>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</si>
  <si>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</si>
  <si>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</si>
  <si>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</si>
  <si>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</si>
  <si>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</si>
  <si>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</si>
  <si>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</si>
  <si>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</si>
  <si>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</si>
  <si>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</si>
  <si>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</si>
  <si>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</si>
  <si>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</si>
  <si>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</si>
  <si>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</si>
  <si>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</si>
  <si>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</si>
  <si>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</si>
  <si>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</si>
  <si>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</si>
  <si>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</si>
  <si>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</si>
  <si>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</si>
  <si>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</si>
  <si>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</si>
  <si>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</si>
  <si>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</si>
  <si>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</si>
  <si>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</si>
  <si>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</si>
  <si>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</si>
  <si>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</si>
  <si>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</si>
  <si>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</si>
  <si>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</si>
  <si>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</si>
  <si>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</si>
  <si>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</si>
  <si>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</si>
  <si>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</si>
  <si>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</si>
  <si>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</si>
  <si>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</si>
  <si>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</si>
  <si>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</si>
  <si>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</si>
  <si>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</si>
  <si>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</si>
  <si>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</si>
  <si>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</si>
  <si>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</si>
  <si>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</si>
  <si>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</si>
  <si>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</si>
  <si>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</si>
  <si>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</si>
  <si>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</si>
  <si>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</si>
  <si>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</si>
  <si>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</si>
  <si>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</si>
  <si>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</si>
  <si>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</si>
  <si>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</si>
  <si>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</si>
  <si>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</si>
  <si>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</si>
  <si>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</si>
  <si>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</si>
  <si>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</si>
  <si>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</si>
  <si>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</si>
  <si>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</si>
  <si>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</si>
  <si>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</si>
  <si>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</si>
  <si>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</si>
  <si>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</si>
  <si>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</si>
  <si>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</si>
  <si>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</si>
  <si>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</si>
  <si>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</si>
  <si>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</si>
  <si>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</si>
  <si>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</si>
  <si>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</si>
  <si>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</si>
  <si>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</si>
  <si>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</si>
  <si>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</si>
  <si>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</si>
  <si>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</si>
  <si>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</si>
  <si>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</si>
  <si>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</si>
  <si>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</si>
  <si>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</si>
  <si>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</si>
  <si>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</si>
  <si>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</si>
  <si>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</si>
  <si>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</si>
  <si>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</si>
  <si>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</si>
  <si>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</si>
  <si>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</si>
  <si>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</si>
  <si>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</si>
  <si>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</si>
  <si>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</si>
  <si>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</si>
  <si>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</si>
  <si>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</si>
  <si>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</si>
  <si>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</si>
  <si>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</si>
  <si>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</si>
  <si>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</si>
  <si>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</si>
  <si>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</si>
  <si>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</si>
  <si>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</si>
  <si>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</si>
  <si>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</si>
  <si>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</si>
  <si>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</si>
  <si>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</si>
  <si>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</si>
  <si>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</si>
  <si>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</si>
  <si>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</si>
  <si>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</si>
  <si>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</si>
  <si>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</si>
  <si>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</si>
  <si>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</si>
  <si>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</si>
  <si>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</si>
  <si>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</si>
  <si>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</si>
  <si>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</si>
  <si>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</si>
  <si>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</si>
  <si>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</si>
  <si>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</si>
  <si>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</si>
  <si>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</si>
  <si>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</si>
  <si>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</si>
  <si>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</si>
  <si>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</si>
  <si>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</si>
  <si>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</si>
  <si>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</si>
  <si>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</si>
  <si>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</si>
  <si>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</si>
  <si>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</si>
  <si>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</si>
  <si>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</si>
  <si>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</si>
  <si>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</si>
  <si>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</si>
  <si>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</si>
  <si>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</si>
  <si>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</si>
  <si>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</si>
  <si>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</si>
  <si>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</si>
  <si>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</si>
  <si>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</si>
  <si>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</si>
  <si>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</si>
  <si>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</si>
  <si>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</si>
  <si>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</si>
  <si>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</si>
  <si>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</si>
  <si>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</si>
  <si>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</si>
  <si>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</si>
  <si>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</si>
  <si>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</si>
  <si>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</si>
  <si>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</si>
  <si>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</si>
  <si>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</si>
  <si>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</si>
  <si>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</si>
  <si>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</si>
  <si>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</si>
  <si>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</si>
  <si>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</si>
  <si>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</si>
  <si>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</si>
  <si>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</si>
  <si>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</si>
  <si>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</si>
  <si>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</si>
  <si>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</si>
  <si>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</si>
  <si>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</si>
  <si>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</si>
  <si>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</si>
  <si>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</si>
  <si>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</si>
  <si>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</si>
  <si>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</si>
  <si>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</si>
  <si>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</si>
  <si>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</si>
  <si>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</si>
  <si>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</si>
  <si>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</si>
  <si>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</si>
  <si>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</si>
  <si>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</si>
  <si>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</si>
  <si>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</si>
  <si>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</si>
  <si>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</si>
  <si>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</si>
  <si>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</si>
  <si>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</si>
  <si>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</si>
  <si>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</si>
  <si>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</si>
  <si>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</si>
  <si>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</si>
  <si>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</si>
  <si>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</si>
  <si>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</si>
  <si>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</si>
  <si>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</si>
  <si>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</si>
  <si>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</si>
  <si>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</si>
  <si>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</si>
  <si>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</si>
  <si>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</si>
  <si>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</si>
  <si>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</si>
  <si>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</si>
  <si>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</si>
  <si>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</si>
  <si>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</si>
  <si>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</si>
  <si>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</si>
  <si>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</si>
  <si>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</si>
  <si>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</si>
  <si>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</si>
  <si>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</si>
  <si>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</si>
  <si>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</si>
  <si>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</si>
  <si>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</si>
  <si>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</si>
  <si>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</si>
  <si>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</si>
  <si>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</si>
  <si>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</si>
  <si>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</si>
  <si>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</si>
  <si>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</si>
  <si>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</si>
  <si>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</si>
  <si>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</si>
  <si>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</si>
  <si>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</si>
  <si>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</si>
  <si>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</si>
  <si>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</si>
  <si>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</si>
  <si>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</si>
  <si>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</si>
  <si>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</si>
  <si>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</si>
  <si>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</si>
  <si>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</si>
  <si>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</si>
  <si>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</si>
  <si>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</si>
  <si>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</si>
  <si>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</si>
  <si>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</si>
  <si>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</si>
  <si>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</si>
  <si>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</si>
  <si>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</si>
  <si>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</si>
  <si>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</si>
  <si>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</si>
  <si>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</si>
  <si>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</si>
  <si>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</si>
  <si>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</si>
  <si>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</si>
  <si>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</si>
  <si>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</si>
  <si>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</si>
  <si>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</si>
  <si>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</si>
  <si>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</si>
  <si>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</si>
  <si>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</si>
  <si>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</si>
  <si>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</si>
  <si>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</si>
  <si>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</si>
  <si>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</si>
  <si>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</si>
  <si>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</si>
  <si>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</si>
  <si>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</si>
  <si>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</si>
  <si>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</si>
  <si>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</si>
  <si>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</si>
  <si>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</si>
  <si>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</si>
  <si>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</si>
  <si>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</si>
  <si>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</si>
  <si>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</si>
  <si>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</si>
  <si>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</si>
  <si>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</si>
  <si>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</si>
  <si>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</si>
  <si>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</si>
  <si>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</si>
  <si>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</si>
  <si>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</si>
  <si>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</si>
  <si>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</si>
  <si>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</si>
  <si>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</si>
  <si>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</si>
  <si>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</si>
  <si>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</si>
  <si>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</si>
  <si>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</si>
  <si>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</si>
  <si>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</si>
  <si>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</si>
  <si>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</si>
  <si>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</si>
  <si>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</si>
  <si>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</si>
  <si>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</si>
  <si>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</si>
  <si>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</si>
  <si>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</si>
  <si>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</si>
  <si>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</si>
  <si>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</si>
  <si>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</si>
  <si>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</si>
  <si>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</si>
  <si>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</si>
  <si>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</si>
  <si>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</si>
  <si>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</si>
  <si>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</si>
  <si>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</si>
  <si>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</si>
  <si>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</si>
  <si>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</si>
  <si>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</si>
  <si>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</si>
  <si>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</si>
  <si>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</si>
  <si>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</si>
  <si>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</si>
  <si>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</si>
  <si>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</si>
  <si>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</si>
  <si>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</si>
  <si>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</si>
  <si>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</si>
  <si>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</si>
  <si>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</si>
  <si>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</si>
  <si>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</si>
  <si>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</si>
  <si>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</si>
  <si>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</si>
  <si>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</si>
  <si>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</si>
  <si>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</si>
  <si>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</si>
  <si>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</si>
  <si>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</si>
  <si>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</si>
  <si>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24007</t>
  </si>
  <si>
    <t>BEGIJNENDIJK</t>
  </si>
  <si>
    <t>Eandis (januari 2018); Infrax (juni 2018)</t>
  </si>
  <si>
    <t>MOW (september 2017)</t>
  </si>
  <si>
    <t>referentietaak LNE (2017); Jaarverslag De Lijn (2016)</t>
  </si>
  <si>
    <t>VEA (april 2018)</t>
  </si>
  <si>
    <t>VEA (januari 2017)</t>
  </si>
  <si>
    <t>VEA (juni 2018)</t>
  </si>
  <si>
    <t>WKK-0655 Ivan Stuyven</t>
  </si>
  <si>
    <t>brandstofcel</t>
  </si>
  <si>
    <t>Aarschotsesteenweg 2 , 3130 Betekom</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</si>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</sst>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95700.919223229343</c:v>
                </c:pt>
                <c:pt idx="1">
                  <c:v>11583.910498515186</c:v>
                </c:pt>
                <c:pt idx="2">
                  <c:v>546.03899999999999</c:v>
                </c:pt>
                <c:pt idx="3">
                  <c:v>891.31097601521071</c:v>
                </c:pt>
                <c:pt idx="4">
                  <c:v>2681.6606348392011</c:v>
                </c:pt>
                <c:pt idx="5">
                  <c:v>60592.251715548315</c:v>
                </c:pt>
                <c:pt idx="6">
                  <c:v>292.08008310080874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95700.919223229343</c:v>
                </c:pt>
                <c:pt idx="1">
                  <c:v>11583.910498515186</c:v>
                </c:pt>
                <c:pt idx="2">
                  <c:v>546.03899999999999</c:v>
                </c:pt>
                <c:pt idx="3">
                  <c:v>891.31097601521071</c:v>
                </c:pt>
                <c:pt idx="4">
                  <c:v>2681.6606348392011</c:v>
                </c:pt>
                <c:pt idx="5">
                  <c:v>60592.251715548315</c:v>
                </c:pt>
                <c:pt idx="6">
                  <c:v>292.08008310080874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20768.780305018518</c:v>
                </c:pt>
                <c:pt idx="2">
                  <c:v>2233.6901926872906</c:v>
                </c:pt>
                <c:pt idx="3">
                  <c:v>104.00054731356938</c:v>
                </c:pt>
                <c:pt idx="4">
                  <c:v>224.2704768016016</c:v>
                </c:pt>
                <c:pt idx="5">
                  <c:v>520.9375305115409</c:v>
                </c:pt>
                <c:pt idx="6">
                  <c:v>15151.959273884178</c:v>
                </c:pt>
                <c:pt idx="7">
                  <c:v>73.794197537885793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20768.780305018518</c:v>
                </c:pt>
                <c:pt idx="2">
                  <c:v>2233.6901926872906</c:v>
                </c:pt>
                <c:pt idx="3">
                  <c:v>104.00054731356938</c:v>
                </c:pt>
                <c:pt idx="4">
                  <c:v>224.2704768016016</c:v>
                </c:pt>
                <c:pt idx="5">
                  <c:v>520.9375305115409</c:v>
                </c:pt>
                <c:pt idx="6">
                  <c:v>15151.959273884178</c:v>
                </c:pt>
                <c:pt idx="7">
                  <c:v>73.794197537885793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24007</v>
      </c>
      <c r="B6" s="415"/>
      <c r="C6" s="416"/>
    </row>
    <row r="7" spans="1:7" s="413" customFormat="1" ht="15.75" customHeight="1">
      <c r="A7" s="417" t="str">
        <f>txtMunicipality</f>
        <v>BEGIJNENDIJK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0.19046358833997093</v>
      </c>
      <c r="C17" s="524">
        <f ca="1">'EF ele_warmte'!B22</f>
        <v>0.22444444444444442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0.19046358833997093</v>
      </c>
      <c r="C29" s="525">
        <f ca="1">'EF ele_warmte'!B22</f>
        <v>0.22444444444444442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4107</v>
      </c>
      <c r="C9" s="342">
        <v>4404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364.97</v>
      </c>
    </row>
    <row r="15" spans="1:6">
      <c r="A15" s="348" t="s">
        <v>184</v>
      </c>
      <c r="B15" s="334">
        <v>0</v>
      </c>
    </row>
    <row r="16" spans="1:6">
      <c r="A16" s="348" t="s">
        <v>6</v>
      </c>
      <c r="B16" s="334">
        <v>0</v>
      </c>
    </row>
    <row r="17" spans="1:6">
      <c r="A17" s="348" t="s">
        <v>7</v>
      </c>
      <c r="B17" s="334">
        <v>31</v>
      </c>
    </row>
    <row r="18" spans="1:6">
      <c r="A18" s="348" t="s">
        <v>8</v>
      </c>
      <c r="B18" s="334">
        <v>30</v>
      </c>
    </row>
    <row r="19" spans="1:6">
      <c r="A19" s="348" t="s">
        <v>9</v>
      </c>
      <c r="B19" s="334">
        <v>25</v>
      </c>
    </row>
    <row r="20" spans="1:6">
      <c r="A20" s="348" t="s">
        <v>10</v>
      </c>
      <c r="B20" s="334">
        <v>14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40</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1340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1310</v>
      </c>
      <c r="D39" s="334">
        <v>19825583.75</v>
      </c>
      <c r="E39" s="334">
        <v>4066</v>
      </c>
      <c r="F39" s="334">
        <v>14618666.65</v>
      </c>
    </row>
    <row r="40" spans="1:6">
      <c r="A40" s="348" t="s">
        <v>30</v>
      </c>
      <c r="B40" s="348" t="s">
        <v>29</v>
      </c>
      <c r="C40" s="334">
        <v>0</v>
      </c>
      <c r="D40" s="334">
        <v>0</v>
      </c>
      <c r="E40" s="334">
        <v>0</v>
      </c>
      <c r="F40" s="334">
        <v>0</v>
      </c>
    </row>
    <row r="41" spans="1:6">
      <c r="A41" s="348" t="s">
        <v>32</v>
      </c>
      <c r="B41" s="348" t="s">
        <v>33</v>
      </c>
      <c r="C41" s="334">
        <v>28</v>
      </c>
      <c r="D41" s="334">
        <v>423281</v>
      </c>
      <c r="E41" s="334">
        <v>89</v>
      </c>
      <c r="F41" s="334">
        <v>653595.4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277539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27627</v>
      </c>
      <c r="E48" s="334">
        <v>5</v>
      </c>
      <c r="F48" s="334">
        <v>21789</v>
      </c>
    </row>
    <row r="49" spans="1:6">
      <c r="A49" s="348" t="s">
        <v>32</v>
      </c>
      <c r="B49" s="348" t="s">
        <v>40</v>
      </c>
      <c r="C49" s="334">
        <v>0</v>
      </c>
      <c r="D49" s="334">
        <v>0</v>
      </c>
      <c r="E49" s="334">
        <v>0</v>
      </c>
      <c r="F49" s="334">
        <v>0</v>
      </c>
    </row>
    <row r="50" spans="1:6">
      <c r="A50" s="348" t="s">
        <v>32</v>
      </c>
      <c r="B50" s="348" t="s">
        <v>41</v>
      </c>
      <c r="C50" s="334">
        <v>4</v>
      </c>
      <c r="D50" s="334">
        <v>68505</v>
      </c>
      <c r="E50" s="334">
        <v>9</v>
      </c>
      <c r="F50" s="334">
        <v>251146</v>
      </c>
    </row>
    <row r="51" spans="1:6">
      <c r="A51" s="348" t="s">
        <v>42</v>
      </c>
      <c r="B51" s="348" t="s">
        <v>43</v>
      </c>
      <c r="C51" s="334">
        <v>3</v>
      </c>
      <c r="D51" s="334">
        <v>59680</v>
      </c>
      <c r="E51" s="334">
        <v>22</v>
      </c>
      <c r="F51" s="334">
        <v>156825</v>
      </c>
    </row>
    <row r="52" spans="1:6">
      <c r="A52" s="348" t="s">
        <v>42</v>
      </c>
      <c r="B52" s="348" t="s">
        <v>29</v>
      </c>
      <c r="C52" s="334">
        <v>0</v>
      </c>
      <c r="D52" s="334">
        <v>0</v>
      </c>
      <c r="E52" s="334">
        <v>0</v>
      </c>
      <c r="F52" s="334">
        <v>0</v>
      </c>
    </row>
    <row r="53" spans="1:6">
      <c r="A53" s="348" t="s">
        <v>44</v>
      </c>
      <c r="B53" s="348" t="s">
        <v>45</v>
      </c>
      <c r="C53" s="334">
        <v>7</v>
      </c>
      <c r="D53" s="334">
        <v>149373</v>
      </c>
      <c r="E53" s="334">
        <v>54</v>
      </c>
      <c r="F53" s="334">
        <v>338700.2</v>
      </c>
    </row>
    <row r="54" spans="1:6">
      <c r="A54" s="348" t="s">
        <v>46</v>
      </c>
      <c r="B54" s="348" t="s">
        <v>47</v>
      </c>
      <c r="C54" s="334">
        <v>0</v>
      </c>
      <c r="D54" s="334">
        <v>0</v>
      </c>
      <c r="E54" s="334">
        <v>1</v>
      </c>
      <c r="F54" s="334">
        <v>546039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299377</v>
      </c>
      <c r="E57" s="334">
        <v>44</v>
      </c>
      <c r="F57" s="334">
        <v>633226</v>
      </c>
    </row>
    <row r="58" spans="1:6">
      <c r="A58" s="348" t="s">
        <v>49</v>
      </c>
      <c r="B58" s="348" t="s">
        <v>51</v>
      </c>
      <c r="C58" s="334">
        <v>10</v>
      </c>
      <c r="D58" s="334">
        <v>181714</v>
      </c>
      <c r="E58" s="334">
        <v>25</v>
      </c>
      <c r="F58" s="334">
        <v>513328.25</v>
      </c>
    </row>
    <row r="59" spans="1:6">
      <c r="A59" s="348" t="s">
        <v>49</v>
      </c>
      <c r="B59" s="348" t="s">
        <v>52</v>
      </c>
      <c r="C59" s="334">
        <v>31</v>
      </c>
      <c r="D59" s="334">
        <v>614050.6</v>
      </c>
      <c r="E59" s="334">
        <v>97</v>
      </c>
      <c r="F59" s="334">
        <v>3276119.8</v>
      </c>
    </row>
    <row r="60" spans="1:6">
      <c r="A60" s="348" t="s">
        <v>49</v>
      </c>
      <c r="B60" s="348" t="s">
        <v>53</v>
      </c>
      <c r="C60" s="334">
        <v>17</v>
      </c>
      <c r="D60" s="334">
        <v>657599</v>
      </c>
      <c r="E60" s="334">
        <v>37</v>
      </c>
      <c r="F60" s="334">
        <v>706173</v>
      </c>
    </row>
    <row r="61" spans="1:6">
      <c r="A61" s="348" t="s">
        <v>49</v>
      </c>
      <c r="B61" s="348" t="s">
        <v>54</v>
      </c>
      <c r="C61" s="334">
        <v>36</v>
      </c>
      <c r="D61" s="334">
        <v>1678835</v>
      </c>
      <c r="E61" s="334">
        <v>104</v>
      </c>
      <c r="F61" s="334">
        <v>932617</v>
      </c>
    </row>
    <row r="62" spans="1:6">
      <c r="A62" s="348" t="s">
        <v>49</v>
      </c>
      <c r="B62" s="348" t="s">
        <v>55</v>
      </c>
      <c r="C62" s="334">
        <v>3</v>
      </c>
      <c r="D62" s="334">
        <v>499786</v>
      </c>
      <c r="E62" s="334">
        <v>4</v>
      </c>
      <c r="F62" s="334">
        <v>163519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126477.1</v>
      </c>
    </row>
    <row r="67" spans="1:6">
      <c r="A67" s="355" t="s">
        <v>56</v>
      </c>
      <c r="B67" s="355" t="s">
        <v>59</v>
      </c>
      <c r="C67" s="334">
        <v>0</v>
      </c>
      <c r="D67" s="334">
        <v>0</v>
      </c>
      <c r="E67" s="334">
        <v>0</v>
      </c>
      <c r="F67" s="334">
        <v>0</v>
      </c>
    </row>
    <row r="68" spans="1:6">
      <c r="A68" s="341" t="s">
        <v>56</v>
      </c>
      <c r="B68" s="341" t="s">
        <v>60</v>
      </c>
      <c r="C68" s="334">
        <v>0</v>
      </c>
      <c r="D68" s="334">
        <v>0</v>
      </c>
      <c r="E68" s="334">
        <v>4</v>
      </c>
      <c r="F68" s="334">
        <v>31189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43153160</v>
      </c>
      <c r="E73" s="475">
        <v>43662621.464231305</v>
      </c>
    </row>
    <row r="74" spans="1:6">
      <c r="A74" s="348" t="s">
        <v>64</v>
      </c>
      <c r="B74" s="348" t="s">
        <v>657</v>
      </c>
      <c r="C74" s="1295" t="s">
        <v>659</v>
      </c>
      <c r="D74" s="475">
        <v>4153235.5</v>
      </c>
      <c r="E74" s="475">
        <v>4184886.9596714717</v>
      </c>
    </row>
    <row r="75" spans="1:6">
      <c r="A75" s="348" t="s">
        <v>65</v>
      </c>
      <c r="B75" s="348" t="s">
        <v>656</v>
      </c>
      <c r="C75" s="1295" t="s">
        <v>660</v>
      </c>
      <c r="D75" s="475">
        <v>24541980</v>
      </c>
      <c r="E75" s="475">
        <v>24800379.962262891</v>
      </c>
    </row>
    <row r="76" spans="1:6">
      <c r="A76" s="348" t="s">
        <v>65</v>
      </c>
      <c r="B76" s="348" t="s">
        <v>657</v>
      </c>
      <c r="C76" s="1295" t="s">
        <v>661</v>
      </c>
      <c r="D76" s="475">
        <v>394123.5</v>
      </c>
      <c r="E76" s="475">
        <v>399303.99036477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79217</v>
      </c>
      <c r="C83" s="475">
        <v>79325.225310950409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2937.7462494392262</v>
      </c>
    </row>
    <row r="92" spans="1:6">
      <c r="A92" s="341" t="s">
        <v>69</v>
      </c>
      <c r="B92" s="342">
        <v>663.49427590375183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158</v>
      </c>
    </row>
    <row r="98" spans="1:6">
      <c r="A98" s="348" t="s">
        <v>72</v>
      </c>
      <c r="B98" s="334">
        <v>0</v>
      </c>
    </row>
    <row r="99" spans="1:6">
      <c r="A99" s="348" t="s">
        <v>73</v>
      </c>
      <c r="B99" s="334">
        <v>129</v>
      </c>
    </row>
    <row r="100" spans="1:6">
      <c r="A100" s="348" t="s">
        <v>74</v>
      </c>
      <c r="B100" s="334">
        <v>217</v>
      </c>
    </row>
    <row r="101" spans="1:6">
      <c r="A101" s="348" t="s">
        <v>75</v>
      </c>
      <c r="B101" s="334">
        <v>34</v>
      </c>
    </row>
    <row r="102" spans="1:6">
      <c r="A102" s="348" t="s">
        <v>76</v>
      </c>
      <c r="B102" s="334">
        <v>22</v>
      </c>
    </row>
    <row r="103" spans="1:6">
      <c r="A103" s="348" t="s">
        <v>77</v>
      </c>
      <c r="B103" s="334">
        <v>93</v>
      </c>
    </row>
    <row r="104" spans="1:6">
      <c r="A104" s="348" t="s">
        <v>78</v>
      </c>
      <c r="B104" s="334">
        <v>2805</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13</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87</v>
      </c>
    </row>
    <row r="130" spans="1:6">
      <c r="A130" s="348" t="s">
        <v>295</v>
      </c>
      <c r="B130" s="334">
        <v>0</v>
      </c>
    </row>
    <row r="131" spans="1:6">
      <c r="A131" s="348" t="s">
        <v>296</v>
      </c>
      <c r="B131" s="334">
        <v>0</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26062.161041821091</v>
      </c>
      <c r="C3" s="43" t="s">
        <v>170</v>
      </c>
      <c r="D3" s="43"/>
      <c r="E3" s="154"/>
      <c r="F3" s="43"/>
      <c r="G3" s="43"/>
      <c r="H3" s="43"/>
      <c r="I3" s="43"/>
      <c r="J3" s="43"/>
      <c r="K3" s="96"/>
    </row>
    <row r="4" spans="1:11">
      <c r="A4" s="383" t="s">
        <v>171</v>
      </c>
      <c r="B4" s="49">
        <f>IF(ISERROR('SEAP template'!B78+'SEAP template'!C78),0,'SEAP template'!B78+'SEAP template'!C78)</f>
        <v>3609.7405253429779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1.9077777777777776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0.19046358833997093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2.7327627627627624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12.175675675675675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0.22444444444444442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546.03899999999999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546.03899999999999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0.19046358833997093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104.00054731356938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14618.666650000001</v>
      </c>
      <c r="C5" s="17">
        <f>IF(ISERROR('Eigen informatie GS &amp; warmtenet'!B57),0,'Eigen informatie GS &amp; warmtenet'!B57)</f>
        <v>0</v>
      </c>
      <c r="D5" s="30">
        <f>(SUM(HH_hh_gas_kWh,HH_rest_gas_kWh)/1000)*0.902</f>
        <v>17882.676542500001</v>
      </c>
      <c r="E5" s="17">
        <f>B46*B57</f>
        <v>7006.6906206367485</v>
      </c>
      <c r="F5" s="17">
        <f>B51*B62</f>
        <v>45775.668439489236</v>
      </c>
      <c r="G5" s="18"/>
      <c r="H5" s="17"/>
      <c r="I5" s="17"/>
      <c r="J5" s="17">
        <f>B50*B61+C50*C61</f>
        <v>0</v>
      </c>
      <c r="K5" s="17"/>
      <c r="L5" s="17"/>
      <c r="M5" s="17"/>
      <c r="N5" s="17">
        <f>B48*B59+C48*C59</f>
        <v>6293.5373878308073</v>
      </c>
      <c r="O5" s="17">
        <f>B69*B70*B71</f>
        <v>156.33333333333334</v>
      </c>
      <c r="P5" s="17">
        <f>B77*B78*B79/1000-B77*B78*B79/1000/B80</f>
        <v>1029.5999999999999</v>
      </c>
    </row>
    <row r="6" spans="1:16">
      <c r="A6" s="16" t="s">
        <v>621</v>
      </c>
      <c r="B6" s="788">
        <f>kWh_PV_kleiner_dan_10kW</f>
        <v>2937.7462494392262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17556.412899439227</v>
      </c>
      <c r="C8" s="21">
        <f>C5</f>
        <v>0</v>
      </c>
      <c r="D8" s="21">
        <f>D5</f>
        <v>17882.676542500001</v>
      </c>
      <c r="E8" s="21">
        <f>E5</f>
        <v>7006.6906206367485</v>
      </c>
      <c r="F8" s="21">
        <f>F5</f>
        <v>45775.668439489236</v>
      </c>
      <c r="G8" s="21"/>
      <c r="H8" s="21"/>
      <c r="I8" s="21"/>
      <c r="J8" s="21">
        <f>J5</f>
        <v>0</v>
      </c>
      <c r="K8" s="21"/>
      <c r="L8" s="21">
        <f>L5</f>
        <v>0</v>
      </c>
      <c r="M8" s="21">
        <f>M5</f>
        <v>0</v>
      </c>
      <c r="N8" s="21">
        <f>N5</f>
        <v>6293.5373878308073</v>
      </c>
      <c r="O8" s="21">
        <f>O5</f>
        <v>156.33333333333334</v>
      </c>
      <c r="P8" s="21">
        <f>P5</f>
        <v>1029.5999999999999</v>
      </c>
    </row>
    <row r="9" spans="1:16">
      <c r="B9" s="19"/>
      <c r="C9" s="19"/>
      <c r="D9" s="258"/>
      <c r="E9" s="19"/>
      <c r="F9" s="19"/>
      <c r="G9" s="19"/>
      <c r="H9" s="19"/>
      <c r="I9" s="19"/>
      <c r="J9" s="19"/>
      <c r="K9" s="19"/>
      <c r="L9" s="19"/>
      <c r="M9" s="19"/>
      <c r="N9" s="19"/>
      <c r="O9" s="19"/>
      <c r="P9" s="19"/>
    </row>
    <row r="10" spans="1:16">
      <c r="A10" s="24" t="s">
        <v>214</v>
      </c>
      <c r="B10" s="25">
        <f ca="1">'EF ele_warmte'!B12</f>
        <v>0.19046358833997093</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3343.8573992053484</v>
      </c>
      <c r="C12" s="23">
        <f ca="1">C10*C8</f>
        <v>0</v>
      </c>
      <c r="D12" s="23">
        <f>D8*D10</f>
        <v>3612.3006615850004</v>
      </c>
      <c r="E12" s="23">
        <f>E10*E8</f>
        <v>1590.5187708845419</v>
      </c>
      <c r="F12" s="23">
        <f>F10*F8</f>
        <v>12222.103473343626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158</v>
      </c>
      <c r="C18" s="166" t="s">
        <v>111</v>
      </c>
      <c r="D18" s="228"/>
      <c r="E18" s="15"/>
    </row>
    <row r="19" spans="1:7">
      <c r="A19" s="171" t="s">
        <v>72</v>
      </c>
      <c r="B19" s="37">
        <f>aantalw2001_ander</f>
        <v>0</v>
      </c>
      <c r="C19" s="166" t="s">
        <v>111</v>
      </c>
      <c r="D19" s="229"/>
      <c r="E19" s="15"/>
    </row>
    <row r="20" spans="1:7">
      <c r="A20" s="171" t="s">
        <v>73</v>
      </c>
      <c r="B20" s="37">
        <f>aantalw2001_propaan</f>
        <v>129</v>
      </c>
      <c r="C20" s="167">
        <f>IF(ISERROR(B20/SUM($B$20,$B$21,$B$22)*100),0,B20/SUM($B$20,$B$21,$B$22)*100)</f>
        <v>33.94736842105263</v>
      </c>
      <c r="D20" s="229"/>
      <c r="E20" s="15"/>
    </row>
    <row r="21" spans="1:7">
      <c r="A21" s="171" t="s">
        <v>74</v>
      </c>
      <c r="B21" s="37">
        <f>aantalw2001_elektriciteit</f>
        <v>217</v>
      </c>
      <c r="C21" s="167">
        <f>IF(ISERROR(B21/SUM($B$20,$B$21,$B$22)*100),0,B21/SUM($B$20,$B$21,$B$22)*100)</f>
        <v>57.10526315789474</v>
      </c>
      <c r="D21" s="229"/>
      <c r="E21" s="15"/>
    </row>
    <row r="22" spans="1:7">
      <c r="A22" s="171" t="s">
        <v>75</v>
      </c>
      <c r="B22" s="37">
        <f>aantalw2001_hout</f>
        <v>34</v>
      </c>
      <c r="C22" s="167">
        <f>IF(ISERROR(B22/SUM($B$20,$B$21,$B$22)*100),0,B22/SUM($B$20,$B$21,$B$22)*100)</f>
        <v>8.9473684210526319</v>
      </c>
      <c r="D22" s="229"/>
      <c r="E22" s="15"/>
    </row>
    <row r="23" spans="1:7">
      <c r="A23" s="171" t="s">
        <v>76</v>
      </c>
      <c r="B23" s="37">
        <f>aantalw2001_niet_gespec</f>
        <v>22</v>
      </c>
      <c r="C23" s="166" t="s">
        <v>111</v>
      </c>
      <c r="D23" s="228"/>
      <c r="E23" s="15"/>
    </row>
    <row r="24" spans="1:7">
      <c r="A24" s="171" t="s">
        <v>77</v>
      </c>
      <c r="B24" s="37">
        <f>aantalw2001_steenkool</f>
        <v>93</v>
      </c>
      <c r="C24" s="166" t="s">
        <v>111</v>
      </c>
      <c r="D24" s="229"/>
      <c r="E24" s="15"/>
    </row>
    <row r="25" spans="1:7">
      <c r="A25" s="171" t="s">
        <v>78</v>
      </c>
      <c r="B25" s="37">
        <f>aantalw2001_stookolie</f>
        <v>2805</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4107</v>
      </c>
      <c r="C28" s="36"/>
      <c r="D28" s="228"/>
    </row>
    <row r="29" spans="1:7" s="15" customFormat="1">
      <c r="A29" s="230" t="s">
        <v>794</v>
      </c>
      <c r="B29" s="37">
        <f>SUM(HH_hh_gas_aantal,HH_rest_gas_aantal)</f>
        <v>1310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1310</v>
      </c>
      <c r="C32" s="167">
        <f>IF(ISERROR(B32/SUM($B$32,$B$34,$B$35,$B$36,$B$38,$B$39)*100),0,B32/SUM($B$32,$B$34,$B$35,$B$36,$B$38,$B$39)*100)</f>
        <v>32.321736984949425</v>
      </c>
      <c r="D32" s="233"/>
      <c r="G32" s="15"/>
    </row>
    <row r="33" spans="1:7">
      <c r="A33" s="171" t="s">
        <v>72</v>
      </c>
      <c r="B33" s="34" t="s">
        <v>111</v>
      </c>
      <c r="C33" s="167"/>
      <c r="D33" s="233"/>
      <c r="G33" s="15"/>
    </row>
    <row r="34" spans="1:7">
      <c r="A34" s="171" t="s">
        <v>73</v>
      </c>
      <c r="B34" s="33">
        <f>IF((($B$28-$B$32-$B$39-$B$77-$B$38)*C20/100)&lt;0,0,($B$28-$B$32-$B$39-$B$77-$B$38)*C20/100)</f>
        <v>330.91894736842102</v>
      </c>
      <c r="C34" s="167">
        <f>IF(ISERROR(B34/SUM($B$32,$B$34,$B$35,$B$36,$B$38,$B$39)*100),0,B34/SUM($B$32,$B$34,$B$35,$B$36,$B$38,$B$39)*100)</f>
        <v>8.1647902138766586</v>
      </c>
      <c r="D34" s="233"/>
      <c r="G34" s="15"/>
    </row>
    <row r="35" spans="1:7">
      <c r="A35" s="171" t="s">
        <v>74</v>
      </c>
      <c r="B35" s="33">
        <f>IF((($B$28-$B$32-$B$39-$B$77-$B$38)*C21/100)&lt;0,0,($B$28-$B$32-$B$39-$B$77-$B$38)*C21/100)</f>
        <v>556.66210526315786</v>
      </c>
      <c r="C35" s="167">
        <f>IF(ISERROR(B35/SUM($B$32,$B$34,$B$35,$B$36,$B$38,$B$39)*100),0,B35/SUM($B$32,$B$34,$B$35,$B$36,$B$38,$B$39)*100)</f>
        <v>13.73456958458322</v>
      </c>
      <c r="D35" s="233"/>
      <c r="G35" s="15"/>
    </row>
    <row r="36" spans="1:7">
      <c r="A36" s="171" t="s">
        <v>75</v>
      </c>
      <c r="B36" s="33">
        <f>IF((($B$28-$B$32-$B$39-$B$77-$B$38)*C22/100)&lt;0,0,($B$28-$B$32-$B$39-$B$77-$B$38)*C22/100)</f>
        <v>87.218947368421055</v>
      </c>
      <c r="C36" s="167">
        <f>IF(ISERROR(B36/SUM($B$32,$B$34,$B$35,$B$36,$B$38,$B$39)*100),0,B36/SUM($B$32,$B$34,$B$35,$B$36,$B$38,$B$39)*100)</f>
        <v>2.1519602114093526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1768.2</v>
      </c>
      <c r="C39" s="167">
        <f>IF(ISERROR(B39/SUM($B$32,$B$34,$B$35,$B$36,$B$38,$B$39)*100),0,B39/SUM($B$32,$B$34,$B$35,$B$36,$B$38,$B$39)*100)</f>
        <v>43.626943005181346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1310</v>
      </c>
      <c r="C44" s="34" t="s">
        <v>111</v>
      </c>
      <c r="D44" s="174"/>
    </row>
    <row r="45" spans="1:7">
      <c r="A45" s="171" t="s">
        <v>72</v>
      </c>
      <c r="B45" s="33" t="str">
        <f t="shared" si="0"/>
        <v>-</v>
      </c>
      <c r="C45" s="34" t="s">
        <v>111</v>
      </c>
      <c r="D45" s="174"/>
    </row>
    <row r="46" spans="1:7">
      <c r="A46" s="171" t="s">
        <v>73</v>
      </c>
      <c r="B46" s="33">
        <f t="shared" si="0"/>
        <v>330.91894736842102</v>
      </c>
      <c r="C46" s="34" t="s">
        <v>111</v>
      </c>
      <c r="D46" s="174"/>
    </row>
    <row r="47" spans="1:7">
      <c r="A47" s="171" t="s">
        <v>74</v>
      </c>
      <c r="B47" s="33">
        <f t="shared" si="0"/>
        <v>556.66210526315786</v>
      </c>
      <c r="C47" s="34" t="s">
        <v>111</v>
      </c>
      <c r="D47" s="174"/>
    </row>
    <row r="48" spans="1:7">
      <c r="A48" s="171" t="s">
        <v>75</v>
      </c>
      <c r="B48" s="33">
        <f t="shared" si="0"/>
        <v>87.218947368421055</v>
      </c>
      <c r="C48" s="33">
        <f>B48*10</f>
        <v>872.1894736842105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1768.2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6224.9830499999998</v>
      </c>
      <c r="C5" s="17">
        <f>IF(ISERROR('Eigen informatie GS &amp; warmtenet'!B58),0,'Eigen informatie GS &amp; warmtenet'!B58)</f>
        <v>0</v>
      </c>
      <c r="D5" s="30">
        <f>SUM(D6:D12)</f>
        <v>3546.0881631999996</v>
      </c>
      <c r="E5" s="17">
        <f>SUM(E6:E12)</f>
        <v>132.19674673879447</v>
      </c>
      <c r="F5" s="17">
        <f>SUM(F6:F12)</f>
        <v>1131.1726020642673</v>
      </c>
      <c r="G5" s="18"/>
      <c r="H5" s="17"/>
      <c r="I5" s="17"/>
      <c r="J5" s="17">
        <f>SUM(J6:J12)</f>
        <v>1.3744854282617781E-2</v>
      </c>
      <c r="K5" s="17"/>
      <c r="L5" s="17"/>
      <c r="M5" s="17"/>
      <c r="N5" s="17">
        <f>SUM(N6:N12)</f>
        <v>551.75348895513912</v>
      </c>
      <c r="O5" s="17">
        <f>B38*B39*B40</f>
        <v>0</v>
      </c>
      <c r="P5" s="17">
        <f>B46*B47*B48/1000-B46*B47*B48/1000/B49</f>
        <v>0</v>
      </c>
      <c r="R5" s="32"/>
    </row>
    <row r="6" spans="1:18">
      <c r="A6" s="32" t="s">
        <v>54</v>
      </c>
      <c r="B6" s="37">
        <f>B26</f>
        <v>932.61699999999996</v>
      </c>
      <c r="C6" s="33"/>
      <c r="D6" s="37">
        <f>IF(ISERROR(TER_kantoor_gas_kWh/1000),0,TER_kantoor_gas_kWh/1000)*0.902</f>
        <v>1514.30917</v>
      </c>
      <c r="E6" s="33">
        <f>$C$26*'E Balans VL '!I12/100/3.6*1000000</f>
        <v>5.8453331724452632E-3</v>
      </c>
      <c r="F6" s="33">
        <f>$C$26*('E Balans VL '!L12+'E Balans VL '!N12)/100/3.6*1000000</f>
        <v>140.1462752955984</v>
      </c>
      <c r="G6" s="34"/>
      <c r="H6" s="33"/>
      <c r="I6" s="33"/>
      <c r="J6" s="33">
        <f>$C$26*('E Balans VL '!D12+'E Balans VL '!E12)/100/3.6*1000000</f>
        <v>0</v>
      </c>
      <c r="K6" s="33"/>
      <c r="L6" s="33"/>
      <c r="M6" s="33"/>
      <c r="N6" s="33">
        <f>$C$26*'E Balans VL '!Y12/100/3.6*1000000</f>
        <v>0.8919098848548046</v>
      </c>
      <c r="O6" s="33"/>
      <c r="P6" s="33"/>
      <c r="R6" s="32"/>
    </row>
    <row r="7" spans="1:18">
      <c r="A7" s="32" t="s">
        <v>53</v>
      </c>
      <c r="B7" s="37">
        <f t="shared" ref="B7:B12" si="0">B27</f>
        <v>706.173</v>
      </c>
      <c r="C7" s="33"/>
      <c r="D7" s="37">
        <f>IF(ISERROR(TER_horeca_gas_kWh/1000),0,TER_horeca_gas_kWh/1000)*0.902</f>
        <v>593.15429800000004</v>
      </c>
      <c r="E7" s="33">
        <f>$C$27*'E Balans VL '!I9/100/3.6*1000000</f>
        <v>10.112279734032775</v>
      </c>
      <c r="F7" s="33">
        <f>$C$27*('E Balans VL '!L9+'E Balans VL '!N9)/100/3.6*1000000</f>
        <v>89.424792282825976</v>
      </c>
      <c r="G7" s="34"/>
      <c r="H7" s="33"/>
      <c r="I7" s="33"/>
      <c r="J7" s="33">
        <f>$C$27*('E Balans VL '!D9+'E Balans VL '!E9)/100/3.6*1000000</f>
        <v>0</v>
      </c>
      <c r="K7" s="33"/>
      <c r="L7" s="33"/>
      <c r="M7" s="33"/>
      <c r="N7" s="33">
        <f>$C$27*'E Balans VL '!Y9/100/3.6*1000000</f>
        <v>0.20300916772185457</v>
      </c>
      <c r="O7" s="33"/>
      <c r="P7" s="33"/>
      <c r="R7" s="32"/>
    </row>
    <row r="8" spans="1:18">
      <c r="A8" s="6" t="s">
        <v>52</v>
      </c>
      <c r="B8" s="37">
        <f t="shared" si="0"/>
        <v>3276.1197999999999</v>
      </c>
      <c r="C8" s="33"/>
      <c r="D8" s="37">
        <f>IF(ISERROR(TER_handel_gas_kWh/1000),0,TER_handel_gas_kWh/1000)*0.902</f>
        <v>553.87364120000007</v>
      </c>
      <c r="E8" s="33">
        <f>$C$28*'E Balans VL '!I13/100/3.6*1000000</f>
        <v>118.82446115300577</v>
      </c>
      <c r="F8" s="33">
        <f>$C$28*('E Balans VL '!L13+'E Balans VL '!N13)/100/3.6*1000000</f>
        <v>631.01384630203722</v>
      </c>
      <c r="G8" s="34"/>
      <c r="H8" s="33"/>
      <c r="I8" s="33"/>
      <c r="J8" s="33">
        <f>$C$28*('E Balans VL '!D13+'E Balans VL '!E13)/100/3.6*1000000</f>
        <v>0</v>
      </c>
      <c r="K8" s="33"/>
      <c r="L8" s="33"/>
      <c r="M8" s="33"/>
      <c r="N8" s="33">
        <f>$C$28*'E Balans VL '!Y13/100/3.6*1000000</f>
        <v>4.5381797245474376</v>
      </c>
      <c r="O8" s="33"/>
      <c r="P8" s="33"/>
      <c r="R8" s="32"/>
    </row>
    <row r="9" spans="1:18">
      <c r="A9" s="32" t="s">
        <v>51</v>
      </c>
      <c r="B9" s="37">
        <f t="shared" si="0"/>
        <v>513.32825000000003</v>
      </c>
      <c r="C9" s="33"/>
      <c r="D9" s="37">
        <f>IF(ISERROR(TER_gezond_gas_kWh/1000),0,TER_gezond_gas_kWh/1000)*0.902</f>
        <v>163.90602799999999</v>
      </c>
      <c r="E9" s="33">
        <f>$C$29*'E Balans VL '!I10/100/3.6*1000000</f>
        <v>3.2139416650845319E-2</v>
      </c>
      <c r="F9" s="33">
        <f>$C$29*('E Balans VL '!L10+'E Balans VL '!N10)/100/3.6*1000000</f>
        <v>76.256474473175132</v>
      </c>
      <c r="G9" s="34"/>
      <c r="H9" s="33"/>
      <c r="I9" s="33"/>
      <c r="J9" s="33">
        <f>$C$29*('E Balans VL '!D10+'E Balans VL '!E10)/100/3.6*1000000</f>
        <v>0</v>
      </c>
      <c r="K9" s="33"/>
      <c r="L9" s="33"/>
      <c r="M9" s="33"/>
      <c r="N9" s="33">
        <f>$C$29*'E Balans VL '!Y10/100/3.6*1000000</f>
        <v>7.9402109029421259</v>
      </c>
      <c r="O9" s="33"/>
      <c r="P9" s="33"/>
      <c r="R9" s="32"/>
    </row>
    <row r="10" spans="1:18">
      <c r="A10" s="32" t="s">
        <v>50</v>
      </c>
      <c r="B10" s="37">
        <f t="shared" si="0"/>
        <v>633.226</v>
      </c>
      <c r="C10" s="33"/>
      <c r="D10" s="37">
        <f>IF(ISERROR(TER_ander_gas_kWh/1000),0,TER_ander_gas_kWh/1000)*0.902</f>
        <v>270.03805399999999</v>
      </c>
      <c r="E10" s="33">
        <f>$C$30*'E Balans VL '!I14/100/3.6*1000000</f>
        <v>0.75478276432616498</v>
      </c>
      <c r="F10" s="33">
        <f>$C$30*('E Balans VL '!L14+'E Balans VL '!N14)/100/3.6*1000000</f>
        <v>165.68007261689067</v>
      </c>
      <c r="G10" s="34"/>
      <c r="H10" s="33"/>
      <c r="I10" s="33"/>
      <c r="J10" s="33">
        <f>$C$30*('E Balans VL '!D14+'E Balans VL '!E14)/100/3.6*1000000</f>
        <v>1.3744854282617781E-2</v>
      </c>
      <c r="K10" s="33"/>
      <c r="L10" s="33"/>
      <c r="M10" s="33"/>
      <c r="N10" s="33">
        <f>$C$30*'E Balans VL '!Y14/100/3.6*1000000</f>
        <v>537.72002437788512</v>
      </c>
      <c r="O10" s="33"/>
      <c r="P10" s="33"/>
      <c r="R10" s="32"/>
    </row>
    <row r="11" spans="1:18">
      <c r="A11" s="32" t="s">
        <v>55</v>
      </c>
      <c r="B11" s="37">
        <f t="shared" si="0"/>
        <v>163.51900000000001</v>
      </c>
      <c r="C11" s="33"/>
      <c r="D11" s="37">
        <f>IF(ISERROR(TER_onderwijs_gas_kWh/1000),0,TER_onderwijs_gas_kWh/1000)*0.902</f>
        <v>450.80697200000003</v>
      </c>
      <c r="E11" s="33">
        <f>$C$31*'E Balans VL '!I11/100/3.6*1000000</f>
        <v>2.4672383376064997</v>
      </c>
      <c r="F11" s="33">
        <f>$C$31*('E Balans VL '!L11+'E Balans VL '!N11)/100/3.6*1000000</f>
        <v>28.651141093739863</v>
      </c>
      <c r="G11" s="34"/>
      <c r="H11" s="33"/>
      <c r="I11" s="33"/>
      <c r="J11" s="33">
        <f>$C$31*('E Balans VL '!D11+'E Balans VL '!E11)/100/3.6*1000000</f>
        <v>0</v>
      </c>
      <c r="K11" s="33"/>
      <c r="L11" s="33"/>
      <c r="M11" s="33"/>
      <c r="N11" s="33">
        <f>$C$31*'E Balans VL '!Y11/100/3.6*1000000</f>
        <v>0.46015489718778291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8.5</v>
      </c>
      <c r="C13" s="247">
        <f ca="1">'lokale energieproductie'!O91+'lokale energieproductie'!O60</f>
        <v>12.175675675675675</v>
      </c>
      <c r="D13" s="310">
        <f ca="1">('lokale energieproductie'!P60+'lokale energieproductie'!P91)*(-1)</f>
        <v>-22.972972972972972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6233.4830499999998</v>
      </c>
      <c r="C16" s="21">
        <f t="shared" ca="1" si="1"/>
        <v>12.175675675675675</v>
      </c>
      <c r="D16" s="21">
        <f t="shared" ca="1" si="1"/>
        <v>3523.1151902270267</v>
      </c>
      <c r="E16" s="21">
        <f t="shared" si="1"/>
        <v>132.19674673879447</v>
      </c>
      <c r="F16" s="21">
        <f t="shared" ca="1" si="1"/>
        <v>1131.1726020642673</v>
      </c>
      <c r="G16" s="21">
        <f t="shared" si="1"/>
        <v>0</v>
      </c>
      <c r="H16" s="21">
        <f t="shared" si="1"/>
        <v>0</v>
      </c>
      <c r="I16" s="21">
        <f t="shared" si="1"/>
        <v>0</v>
      </c>
      <c r="J16" s="21">
        <f t="shared" si="1"/>
        <v>1.3744854282617781E-2</v>
      </c>
      <c r="K16" s="21">
        <f t="shared" si="1"/>
        <v>0</v>
      </c>
      <c r="L16" s="21">
        <f t="shared" ca="1" si="1"/>
        <v>0</v>
      </c>
      <c r="M16" s="21">
        <f t="shared" si="1"/>
        <v>0</v>
      </c>
      <c r="N16" s="21">
        <f t="shared" ca="1" si="1"/>
        <v>551.75348895513912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0.19046358833997093</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1187.2515495593864</v>
      </c>
      <c r="C20" s="23">
        <f t="shared" ref="C20:P20" ca="1" si="2">C16*C18</f>
        <v>2.7327627627627624</v>
      </c>
      <c r="D20" s="23">
        <f t="shared" ca="1" si="2"/>
        <v>711.6692684258594</v>
      </c>
      <c r="E20" s="23">
        <f t="shared" si="2"/>
        <v>30.008661509706346</v>
      </c>
      <c r="F20" s="23">
        <f t="shared" ca="1" si="2"/>
        <v>302.02308475115939</v>
      </c>
      <c r="G20" s="23">
        <f t="shared" si="2"/>
        <v>0</v>
      </c>
      <c r="H20" s="23">
        <f t="shared" si="2"/>
        <v>0</v>
      </c>
      <c r="I20" s="23">
        <f t="shared" si="2"/>
        <v>0</v>
      </c>
      <c r="J20" s="23">
        <f t="shared" si="2"/>
        <v>4.8656784160466945E-3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932.61699999999996</v>
      </c>
      <c r="C26" s="39">
        <f>IF(ISERROR(B26*3.6/1000000/'E Balans VL '!Z12*100),0,B26*3.6/1000000/'E Balans VL '!Z12*100)</f>
        <v>1.971404599533615E-2</v>
      </c>
      <c r="D26" s="237" t="s">
        <v>754</v>
      </c>
      <c r="F26" s="6"/>
    </row>
    <row r="27" spans="1:18">
      <c r="A27" s="231" t="s">
        <v>53</v>
      </c>
      <c r="B27" s="33">
        <f>IF(ISERROR(TER_horeca_ele_kWh/1000),0,TER_horeca_ele_kWh/1000)</f>
        <v>706.173</v>
      </c>
      <c r="C27" s="39">
        <f>IF(ISERROR(B27*3.6/1000000/'E Balans VL '!Z9*100),0,B27*3.6/1000000/'E Balans VL '!Z9*100)</f>
        <v>5.5667354385885846E-2</v>
      </c>
      <c r="D27" s="237" t="s">
        <v>754</v>
      </c>
      <c r="F27" s="6"/>
    </row>
    <row r="28" spans="1:18">
      <c r="A28" s="171" t="s">
        <v>52</v>
      </c>
      <c r="B28" s="33">
        <f>IF(ISERROR(TER_handel_ele_kWh/1000),0,TER_handel_ele_kWh/1000)</f>
        <v>3276.1197999999999</v>
      </c>
      <c r="C28" s="39">
        <f>IF(ISERROR(B28*3.6/1000000/'E Balans VL '!Z13*100),0,B28*3.6/1000000/'E Balans VL '!Z13*100)</f>
        <v>9.508623360327946E-2</v>
      </c>
      <c r="D28" s="237" t="s">
        <v>754</v>
      </c>
      <c r="F28" s="6"/>
    </row>
    <row r="29" spans="1:18">
      <c r="A29" s="231" t="s">
        <v>51</v>
      </c>
      <c r="B29" s="33">
        <f>IF(ISERROR(TER_gezond_ele_kWh/1000),0,TER_gezond_ele_kWh/1000)</f>
        <v>513.32825000000003</v>
      </c>
      <c r="C29" s="39">
        <f>IF(ISERROR(B29*3.6/1000000/'E Balans VL '!Z10*100),0,B29*3.6/1000000/'E Balans VL '!Z10*100)</f>
        <v>5.4061893797359928E-2</v>
      </c>
      <c r="D29" s="237" t="s">
        <v>754</v>
      </c>
      <c r="F29" s="6"/>
    </row>
    <row r="30" spans="1:18">
      <c r="A30" s="231" t="s">
        <v>50</v>
      </c>
      <c r="B30" s="33">
        <f>IF(ISERROR(TER_ander_ele_kWh/1000),0,TER_ander_ele_kWh/1000)</f>
        <v>633.226</v>
      </c>
      <c r="C30" s="39">
        <f>IF(ISERROR(B30*3.6/1000000/'E Balans VL '!Z14*100),0,B30*3.6/1000000/'E Balans VL '!Z14*100)</f>
        <v>4.6706887296003044E-2</v>
      </c>
      <c r="D30" s="237" t="s">
        <v>754</v>
      </c>
      <c r="F30" s="6"/>
    </row>
    <row r="31" spans="1:18">
      <c r="A31" s="231" t="s">
        <v>55</v>
      </c>
      <c r="B31" s="33">
        <f>IF(ISERROR(TER_onderwijs_ele_kWh/1000),0,TER_onderwijs_ele_kWh/1000)</f>
        <v>163.51900000000001</v>
      </c>
      <c r="C31" s="39">
        <f>IF(ISERROR(B31*3.6/1000000/'E Balans VL '!Z11*100),0,B31*3.6/1000000/'E Balans VL '!Z11*100)</f>
        <v>4.0609427381054393E-2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1204.0694000000001</v>
      </c>
      <c r="C5" s="17">
        <f>IF(ISERROR('Eigen informatie GS &amp; warmtenet'!B59),0,'Eigen informatie GS &amp; warmtenet'!B59)</f>
        <v>0</v>
      </c>
      <c r="D5" s="30">
        <f>SUM(D6:D15)</f>
        <v>468.51052600000003</v>
      </c>
      <c r="E5" s="17">
        <f>SUM(E6:E15)</f>
        <v>195.34476587819623</v>
      </c>
      <c r="F5" s="17">
        <f>SUM(F6:F15)</f>
        <v>571.52116247950516</v>
      </c>
      <c r="G5" s="18"/>
      <c r="H5" s="17"/>
      <c r="I5" s="17"/>
      <c r="J5" s="17">
        <f>SUM(J6:J15)</f>
        <v>7.800420566848662E-2</v>
      </c>
      <c r="K5" s="17"/>
      <c r="L5" s="17"/>
      <c r="M5" s="17"/>
      <c r="N5" s="17">
        <f>SUM(N6:N15)</f>
        <v>242.13677627583084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277.53899999999999</v>
      </c>
      <c r="C8" s="33"/>
      <c r="D8" s="37">
        <f>IF( ISERROR(IND_metaal_Gas_kWH/1000),0,IND_metaal_Gas_kWH/1000)*0.902</f>
        <v>0</v>
      </c>
      <c r="E8" s="33">
        <f>C30*'E Balans VL '!I18/100/3.6*1000000</f>
        <v>2.5517030552846394</v>
      </c>
      <c r="F8" s="33">
        <f>C30*'E Balans VL '!L18/100/3.6*1000000+C30*'E Balans VL '!N18/100/3.6*1000000</f>
        <v>26.023917991353716</v>
      </c>
      <c r="G8" s="34"/>
      <c r="H8" s="33"/>
      <c r="I8" s="33"/>
      <c r="J8" s="40">
        <f>C30*'E Balans VL '!D18/100/3.6*1000000+C30*'E Balans VL '!E18/100/3.6*1000000</f>
        <v>0</v>
      </c>
      <c r="K8" s="33"/>
      <c r="L8" s="33"/>
      <c r="M8" s="33"/>
      <c r="N8" s="33">
        <f>C30*'E Balans VL '!Y18/100/3.6*1000000</f>
        <v>3.9595524875118375</v>
      </c>
      <c r="O8" s="33"/>
      <c r="P8" s="33"/>
      <c r="R8" s="32"/>
    </row>
    <row r="9" spans="1:18">
      <c r="A9" s="6" t="s">
        <v>33</v>
      </c>
      <c r="B9" s="37">
        <f t="shared" si="0"/>
        <v>653.59540000000004</v>
      </c>
      <c r="C9" s="33"/>
      <c r="D9" s="37">
        <f>IF( ISERROR(IND_andere_gas_kWh/1000),0,IND_andere_gas_kWh/1000)*0.902</f>
        <v>381.79946200000001</v>
      </c>
      <c r="E9" s="33">
        <f>C31*'E Balans VL '!I19/100/3.6*1000000</f>
        <v>191.0586594216507</v>
      </c>
      <c r="F9" s="33">
        <f>C31*'E Balans VL '!L19/100/3.6*1000000+C31*'E Balans VL '!N19/100/3.6*1000000</f>
        <v>525.21337652594218</v>
      </c>
      <c r="G9" s="34"/>
      <c r="H9" s="33"/>
      <c r="I9" s="33"/>
      <c r="J9" s="40">
        <f>C31*'E Balans VL '!D19/100/3.6*1000000+C31*'E Balans VL '!E19/100/3.6*1000000</f>
        <v>0</v>
      </c>
      <c r="K9" s="33"/>
      <c r="L9" s="33"/>
      <c r="M9" s="33"/>
      <c r="N9" s="33">
        <f>C31*'E Balans VL '!Y19/100/3.6*1000000</f>
        <v>215.9580567059723</v>
      </c>
      <c r="O9" s="33"/>
      <c r="P9" s="33"/>
      <c r="R9" s="32"/>
    </row>
    <row r="10" spans="1:18">
      <c r="A10" s="6" t="s">
        <v>41</v>
      </c>
      <c r="B10" s="37">
        <f t="shared" si="0"/>
        <v>251.14599999999999</v>
      </c>
      <c r="C10" s="33"/>
      <c r="D10" s="37">
        <f>IF( ISERROR(IND_voed_gas_kWh/1000),0,IND_voed_gas_kWh/1000)*0.902</f>
        <v>61.791509999999995</v>
      </c>
      <c r="E10" s="33">
        <f>C32*'E Balans VL '!I20/100/3.6*1000000</f>
        <v>0.53130325706485071</v>
      </c>
      <c r="F10" s="33">
        <f>C32*'E Balans VL '!L20/100/3.6*1000000+C32*'E Balans VL '!N20/100/3.6*1000000</f>
        <v>15.968119218116133</v>
      </c>
      <c r="G10" s="34"/>
      <c r="H10" s="33"/>
      <c r="I10" s="33"/>
      <c r="J10" s="40">
        <f>C32*'E Balans VL '!D20/100/3.6*1000000+C32*'E Balans VL '!E20/100/3.6*1000000</f>
        <v>0</v>
      </c>
      <c r="K10" s="33"/>
      <c r="L10" s="33"/>
      <c r="M10" s="33"/>
      <c r="N10" s="33">
        <f>C32*'E Balans VL '!Y20/100/3.6*1000000</f>
        <v>17.331552369285919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21.789000000000001</v>
      </c>
      <c r="C15" s="33"/>
      <c r="D15" s="37">
        <f>IF( ISERROR(IND_rest_gas_kWh/1000),0,IND_rest_gas_kWh/1000)*0.902</f>
        <v>24.919553999999998</v>
      </c>
      <c r="E15" s="33">
        <f>C37*'E Balans VL '!I15/100/3.6*1000000</f>
        <v>1.2031001441960376</v>
      </c>
      <c r="F15" s="33">
        <f>C37*'E Balans VL '!L15/100/3.6*1000000+C37*'E Balans VL '!N15/100/3.6*1000000</f>
        <v>4.315748744093014</v>
      </c>
      <c r="G15" s="34"/>
      <c r="H15" s="33"/>
      <c r="I15" s="33"/>
      <c r="J15" s="40">
        <f>C37*'E Balans VL '!D15/100/3.6*1000000+C37*'E Balans VL '!E15/100/3.6*1000000</f>
        <v>7.800420566848662E-2</v>
      </c>
      <c r="K15" s="33"/>
      <c r="L15" s="33"/>
      <c r="M15" s="33"/>
      <c r="N15" s="33">
        <f>C37*'E Balans VL '!Y15/100/3.6*1000000</f>
        <v>4.8876147130607768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1204.0694000000001</v>
      </c>
      <c r="C18" s="21">
        <f>C5+C16</f>
        <v>0</v>
      </c>
      <c r="D18" s="21">
        <f>MAX((D5+D16),0)</f>
        <v>468.51052600000003</v>
      </c>
      <c r="E18" s="21">
        <f>MAX((E5+E16),0)</f>
        <v>195.34476587819623</v>
      </c>
      <c r="F18" s="21">
        <f>MAX((F5+F16),0)</f>
        <v>571.52116247950516</v>
      </c>
      <c r="G18" s="21"/>
      <c r="H18" s="21"/>
      <c r="I18" s="21"/>
      <c r="J18" s="21">
        <f>MAX((J5+J16),0)</f>
        <v>7.800420566848662E-2</v>
      </c>
      <c r="K18" s="21"/>
      <c r="L18" s="21">
        <f>MAX((L5+L16),0)</f>
        <v>0</v>
      </c>
      <c r="M18" s="21"/>
      <c r="N18" s="21">
        <f>MAX((N5+N16),0)</f>
        <v>242.13677627583084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0.19046358833997093</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229.33137853435582</v>
      </c>
      <c r="C22" s="23">
        <f ca="1">C18*C20</f>
        <v>0</v>
      </c>
      <c r="D22" s="23">
        <f>D18*D20</f>
        <v>94.639126252000011</v>
      </c>
      <c r="E22" s="23">
        <f>E18*E20</f>
        <v>44.343261854350544</v>
      </c>
      <c r="F22" s="23">
        <f>F18*F20</f>
        <v>152.5961503820279</v>
      </c>
      <c r="G22" s="23"/>
      <c r="H22" s="23"/>
      <c r="I22" s="23"/>
      <c r="J22" s="23">
        <f>J18*J20</f>
        <v>2.7613488806644264E-2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277.53899999999999</v>
      </c>
      <c r="C30" s="39">
        <f>IF(ISERROR(B30*3.6/1000000/'E Balans VL '!Z18*100),0,B30*3.6/1000000/'E Balans VL '!Z18*100)</f>
        <v>1.5728846786541781E-2</v>
      </c>
      <c r="D30" s="237" t="s">
        <v>754</v>
      </c>
    </row>
    <row r="31" spans="1:18">
      <c r="A31" s="6" t="s">
        <v>33</v>
      </c>
      <c r="B31" s="37">
        <f>IF( ISERROR(IND_ander_ele_kWh/1000),0,IND_ander_ele_kWh/1000)</f>
        <v>653.59540000000004</v>
      </c>
      <c r="C31" s="39">
        <f>IF(ISERROR(B31*3.6/1000000/'E Balans VL '!Z19*100),0,B31*3.6/1000000/'E Balans VL '!Z19*100)</f>
        <v>2.9644365820121692E-2</v>
      </c>
      <c r="D31" s="237" t="s">
        <v>754</v>
      </c>
    </row>
    <row r="32" spans="1:18">
      <c r="A32" s="171" t="s">
        <v>41</v>
      </c>
      <c r="B32" s="37">
        <f>IF( ISERROR(IND_voed_ele_kWh/1000),0,IND_voed_ele_kWh/1000)</f>
        <v>251.14599999999999</v>
      </c>
      <c r="C32" s="39">
        <f>IF(ISERROR(B32*3.6/1000000/'E Balans VL '!Z20*100),0,B32*3.6/1000000/'E Balans VL '!Z20*100)</f>
        <v>7.769085886574538E-3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21.789000000000001</v>
      </c>
      <c r="C37" s="39">
        <f>IF(ISERROR(B37*3.6/1000000/'E Balans VL '!Z15*100),0,B37*3.6/1000000/'E Balans VL '!Z15*100)</f>
        <v>1.7270458443695129E-4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156.82499999999999</v>
      </c>
      <c r="C5" s="17">
        <f>'Eigen informatie GS &amp; warmtenet'!B60</f>
        <v>0</v>
      </c>
      <c r="D5" s="30">
        <f>IF(ISERROR(SUM(LB_lb_gas_kWh,LB_rest_gas_kWh)/1000),0,SUM(LB_lb_gas_kWh,LB_rest_gas_kWh)/1000)*0.902</f>
        <v>53.831360000000004</v>
      </c>
      <c r="E5" s="17">
        <f>B17*'E Balans VL '!I25/3.6*1000000/100</f>
        <v>4.6095657488367632</v>
      </c>
      <c r="F5" s="17">
        <f>B17*('E Balans VL '!L25/3.6*1000000+'E Balans VL '!N25/3.6*1000000)/100</f>
        <v>653.32447562180039</v>
      </c>
      <c r="G5" s="18"/>
      <c r="H5" s="17"/>
      <c r="I5" s="17"/>
      <c r="J5" s="17">
        <f>('E Balans VL '!D25+'E Balans VL '!E25)/3.6*1000000*landbouw!B17/100</f>
        <v>22.720574644573539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156.82499999999999</v>
      </c>
      <c r="C8" s="21">
        <f>C5+C6</f>
        <v>0</v>
      </c>
      <c r="D8" s="21">
        <f>MAX((D5+D6),0)</f>
        <v>53.831360000000004</v>
      </c>
      <c r="E8" s="21">
        <f>MAX((E5+E6),0)</f>
        <v>4.6095657488367632</v>
      </c>
      <c r="F8" s="21">
        <f>MAX((F5+F6),0)</f>
        <v>653.32447562180039</v>
      </c>
      <c r="G8" s="21"/>
      <c r="H8" s="21"/>
      <c r="I8" s="21"/>
      <c r="J8" s="21">
        <f>MAX((J5+J6),0)</f>
        <v>22.720574644573539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0.19046358833997093</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29.869452241415939</v>
      </c>
      <c r="C12" s="23">
        <f ca="1">C8*C10</f>
        <v>0</v>
      </c>
      <c r="D12" s="23">
        <f>D8*D10</f>
        <v>10.873934720000001</v>
      </c>
      <c r="E12" s="23">
        <f>E8*E10</f>
        <v>1.0463714249859453</v>
      </c>
      <c r="F12" s="23">
        <f>F8*F10</f>
        <v>174.4376349910207</v>
      </c>
      <c r="G12" s="23"/>
      <c r="H12" s="23"/>
      <c r="I12" s="23"/>
      <c r="J12" s="23">
        <f>J8*J10</f>
        <v>8.0430834241790325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2.2253959523432315E-2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6.4929768078088035</v>
      </c>
      <c r="C26" s="247">
        <f>B26*'GWP N2O_CH4'!B5</f>
        <v>136.35251296398488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0.36408127623587311</v>
      </c>
      <c r="C27" s="247">
        <f>B27*'GWP N2O_CH4'!B5</f>
        <v>7.6457068009533353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9.2652467253057522E-2</v>
      </c>
      <c r="C28" s="247">
        <f>B28*'GWP N2O_CH4'!B4</f>
        <v>28.722264848447832</v>
      </c>
      <c r="D28" s="50"/>
    </row>
    <row r="29" spans="1:4">
      <c r="A29" s="41" t="s">
        <v>277</v>
      </c>
      <c r="B29" s="247">
        <f>B34*'ha_N2O bodem landbouw'!B4</f>
        <v>2.3745825533204759</v>
      </c>
      <c r="C29" s="247">
        <f>B29*'GWP N2O_CH4'!B4</f>
        <v>736.12059152934751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5.4187155549220831E-4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9.587337257471287E-5</v>
      </c>
      <c r="C5" s="463" t="s">
        <v>211</v>
      </c>
      <c r="D5" s="448">
        <f>SUM(D6:D11)</f>
        <v>3.6867503918180852E-4</v>
      </c>
      <c r="E5" s="448">
        <f>SUM(E6:E11)</f>
        <v>4.8495260481195668E-4</v>
      </c>
      <c r="F5" s="461" t="s">
        <v>211</v>
      </c>
      <c r="G5" s="448">
        <f>SUM(G6:G11)</f>
        <v>0.16497331930465584</v>
      </c>
      <c r="H5" s="448">
        <f>SUM(H6:H11)</f>
        <v>4.1350843959301421E-2</v>
      </c>
      <c r="I5" s="463" t="s">
        <v>211</v>
      </c>
      <c r="J5" s="463" t="s">
        <v>211</v>
      </c>
      <c r="K5" s="463" t="s">
        <v>211</v>
      </c>
      <c r="L5" s="463" t="s">
        <v>211</v>
      </c>
      <c r="M5" s="448">
        <f>SUM(M6:M11)</f>
        <v>1.085844189544816E-2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6.1115746070636626E-5</v>
      </c>
      <c r="C6" s="449"/>
      <c r="D6" s="892">
        <f>vkm_2011_GW_PW*SUMIFS(TableVerdeelsleutelVkm[CNG],TableVerdeelsleutelVkm[Voertuigtype],"Lichte voertuigen")*SUMIFS(TableECFTransport[EnergieConsumptieFactor (PJ per km)],TableECFTransport[Index],CONCATENATE($A6,"_CNG_CNG"))</f>
        <v>1.8331216096432635E-4</v>
      </c>
      <c r="E6" s="892">
        <f>vkm_2011_GW_PW*SUMIFS(TableVerdeelsleutelVkm[LPG],TableVerdeelsleutelVkm[Voertuigtype],"Lichte voertuigen")*SUMIFS(TableECFTransport[EnergieConsumptieFactor (PJ per km)],TableECFTransport[Index],CONCATENATE($A6,"_LPG_LPG"))</f>
        <v>2.5043074337151696E-4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6.4749910312169284E-2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2.0849649021748299E-2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4.3980425469966056E-3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3.8974165804298834E-2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1.1878533778077059E-5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2.2775187582314517E-3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3.4757626504076238E-5</v>
      </c>
      <c r="C8" s="449"/>
      <c r="D8" s="451">
        <f>vkm_2011_NGW_PW*SUMIFS(TableVerdeelsleutelVkm[CNG],TableVerdeelsleutelVkm[Voertuigtype],"Lichte voertuigen")*SUMIFS(TableECFTransport[EnergieConsumptieFactor (PJ per km)],TableECFTransport[Index],CONCATENATE($A8,"_CNG_CNG"))</f>
        <v>1.8536287821748217E-4</v>
      </c>
      <c r="E8" s="451">
        <f>vkm_2011_NGW_PW*SUMIFS(TableVerdeelsleutelVkm[LPG],TableVerdeelsleutelVkm[Voertuigtype],"Lichte voertuigen")*SUMIFS(TableECFTransport[EnergieConsumptieFactor (PJ per km)],TableECFTransport[Index],CONCATENATE($A8,"_LPG_LPG"))</f>
        <v>2.3452186144043975E-4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5.6506897859962588E-2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2.048795571238838E-2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3.9057564261987636E-3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4.7423453282251166E-3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1.3606913866666925E-6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2.7712416402133879E-4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26.631492381864689</v>
      </c>
      <c r="C14" s="21"/>
      <c r="D14" s="21">
        <f t="shared" ref="D14:M14" si="0">((D5)*10^9/3600)+D12</f>
        <v>102.40973310605793</v>
      </c>
      <c r="E14" s="21">
        <f t="shared" si="0"/>
        <v>134.70905689221019</v>
      </c>
      <c r="F14" s="21"/>
      <c r="G14" s="21">
        <f t="shared" si="0"/>
        <v>45825.922029071073</v>
      </c>
      <c r="H14" s="21">
        <f t="shared" si="0"/>
        <v>11486.345544250395</v>
      </c>
      <c r="I14" s="21"/>
      <c r="J14" s="21"/>
      <c r="K14" s="21"/>
      <c r="L14" s="21"/>
      <c r="M14" s="21">
        <f t="shared" si="0"/>
        <v>3016.2338598467109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0.19046358833997093</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5.0723296018985478</v>
      </c>
      <c r="C18" s="23"/>
      <c r="D18" s="23">
        <f t="shared" ref="D18:M18" si="1">D14*D16</f>
        <v>20.686766087423702</v>
      </c>
      <c r="E18" s="23">
        <f t="shared" si="1"/>
        <v>30.578955914531711</v>
      </c>
      <c r="F18" s="23"/>
      <c r="G18" s="23">
        <f t="shared" si="1"/>
        <v>12235.521181761977</v>
      </c>
      <c r="H18" s="23">
        <f t="shared" si="1"/>
        <v>2860.1000405183481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9.9497794433104432E-4</v>
      </c>
      <c r="H50" s="321">
        <f t="shared" si="2"/>
        <v>0</v>
      </c>
      <c r="I50" s="321">
        <f t="shared" si="2"/>
        <v>0</v>
      </c>
      <c r="J50" s="321">
        <f t="shared" si="2"/>
        <v>0</v>
      </c>
      <c r="K50" s="321">
        <f t="shared" si="2"/>
        <v>0</v>
      </c>
      <c r="L50" s="321">
        <f t="shared" si="2"/>
        <v>0</v>
      </c>
      <c r="M50" s="321">
        <f t="shared" si="2"/>
        <v>5.6510354831867101E-5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9.9497794433104432E-4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5.6510354831867101E-5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276.38276231417899</v>
      </c>
      <c r="H54" s="21">
        <f t="shared" si="3"/>
        <v>0</v>
      </c>
      <c r="I54" s="21">
        <f t="shared" si="3"/>
        <v>0</v>
      </c>
      <c r="J54" s="21">
        <f t="shared" si="3"/>
        <v>0</v>
      </c>
      <c r="K54" s="21">
        <f t="shared" si="3"/>
        <v>0</v>
      </c>
      <c r="L54" s="21">
        <f t="shared" si="3"/>
        <v>0</v>
      </c>
      <c r="M54" s="21">
        <f t="shared" si="3"/>
        <v>15.697320786629751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0.19046358833997093</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73.794197537885793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6779.5220499999996</v>
      </c>
      <c r="D10" s="1013">
        <f ca="1">tertiair!C16</f>
        <v>12.175675675675675</v>
      </c>
      <c r="E10" s="1013">
        <f ca="1">tertiair!D16</f>
        <v>3523.1151902270267</v>
      </c>
      <c r="F10" s="1013">
        <f>tertiair!E16</f>
        <v>132.19674673879447</v>
      </c>
      <c r="G10" s="1013">
        <f ca="1">tertiair!F16</f>
        <v>1131.1726020642673</v>
      </c>
      <c r="H10" s="1013">
        <f>tertiair!G16</f>
        <v>0</v>
      </c>
      <c r="I10" s="1013">
        <f>tertiair!H16</f>
        <v>0</v>
      </c>
      <c r="J10" s="1013">
        <f>tertiair!I16</f>
        <v>0</v>
      </c>
      <c r="K10" s="1013">
        <f>tertiair!J16</f>
        <v>1.3744854282617781E-2</v>
      </c>
      <c r="L10" s="1013">
        <f>tertiair!K16</f>
        <v>0</v>
      </c>
      <c r="M10" s="1013">
        <f ca="1">tertiair!L16</f>
        <v>0</v>
      </c>
      <c r="N10" s="1013">
        <f>tertiair!M16</f>
        <v>0</v>
      </c>
      <c r="O10" s="1013">
        <f ca="1">tertiair!N16</f>
        <v>551.75348895513912</v>
      </c>
      <c r="P10" s="1013">
        <f>tertiair!O16</f>
        <v>0</v>
      </c>
      <c r="Q10" s="1014">
        <f>tertiair!P16</f>
        <v>0</v>
      </c>
      <c r="R10" s="700">
        <f ca="1">SUM(C10:Q10)</f>
        <v>12129.949498515185</v>
      </c>
      <c r="S10" s="67"/>
    </row>
    <row r="11" spans="1:19" s="473" customFormat="1">
      <c r="A11" s="809" t="s">
        <v>225</v>
      </c>
      <c r="B11" s="814"/>
      <c r="C11" s="1013">
        <f>huishoudens!B8</f>
        <v>17556.412899439227</v>
      </c>
      <c r="D11" s="1013">
        <f>huishoudens!C8</f>
        <v>0</v>
      </c>
      <c r="E11" s="1013">
        <f>huishoudens!D8</f>
        <v>17882.676542500001</v>
      </c>
      <c r="F11" s="1013">
        <f>huishoudens!E8</f>
        <v>7006.6906206367485</v>
      </c>
      <c r="G11" s="1013">
        <f>huishoudens!F8</f>
        <v>45775.668439489236</v>
      </c>
      <c r="H11" s="1013">
        <f>huishoudens!G8</f>
        <v>0</v>
      </c>
      <c r="I11" s="1013">
        <f>huishoudens!H8</f>
        <v>0</v>
      </c>
      <c r="J11" s="1013">
        <f>huishoudens!I8</f>
        <v>0</v>
      </c>
      <c r="K11" s="1013">
        <f>huishoudens!J8</f>
        <v>0</v>
      </c>
      <c r="L11" s="1013">
        <f>huishoudens!K8</f>
        <v>0</v>
      </c>
      <c r="M11" s="1013">
        <f>huishoudens!L8</f>
        <v>0</v>
      </c>
      <c r="N11" s="1013">
        <f>huishoudens!M8</f>
        <v>0</v>
      </c>
      <c r="O11" s="1013">
        <f>huishoudens!N8</f>
        <v>6293.5373878308073</v>
      </c>
      <c r="P11" s="1013">
        <f>huishoudens!O8</f>
        <v>156.33333333333334</v>
      </c>
      <c r="Q11" s="1014">
        <f>huishoudens!P8</f>
        <v>1029.5999999999999</v>
      </c>
      <c r="R11" s="700">
        <f>SUM(C11:Q11)</f>
        <v>95700.919223229343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1204.0694000000001</v>
      </c>
      <c r="D13" s="1013">
        <f>industrie!C18</f>
        <v>0</v>
      </c>
      <c r="E13" s="1013">
        <f>industrie!D18</f>
        <v>468.51052600000003</v>
      </c>
      <c r="F13" s="1013">
        <f>industrie!E18</f>
        <v>195.34476587819623</v>
      </c>
      <c r="G13" s="1013">
        <f>industrie!F18</f>
        <v>571.52116247950516</v>
      </c>
      <c r="H13" s="1013">
        <f>industrie!G18</f>
        <v>0</v>
      </c>
      <c r="I13" s="1013">
        <f>industrie!H18</f>
        <v>0</v>
      </c>
      <c r="J13" s="1013">
        <f>industrie!I18</f>
        <v>0</v>
      </c>
      <c r="K13" s="1013">
        <f>industrie!J18</f>
        <v>7.800420566848662E-2</v>
      </c>
      <c r="L13" s="1013">
        <f>industrie!K18</f>
        <v>0</v>
      </c>
      <c r="M13" s="1013">
        <f>industrie!L18</f>
        <v>0</v>
      </c>
      <c r="N13" s="1013">
        <f>industrie!M18</f>
        <v>0</v>
      </c>
      <c r="O13" s="1013">
        <f>industrie!N18</f>
        <v>242.13677627583084</v>
      </c>
      <c r="P13" s="1013">
        <f>industrie!O18</f>
        <v>0</v>
      </c>
      <c r="Q13" s="1014">
        <f>industrie!P18</f>
        <v>0</v>
      </c>
      <c r="R13" s="700">
        <f>SUM(C13:Q13)</f>
        <v>2681.6606348392011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25540.004349439227</v>
      </c>
      <c r="D16" s="732">
        <f t="shared" ref="D16:R16" ca="1" si="0">SUM(D9:D15)</f>
        <v>12.175675675675675</v>
      </c>
      <c r="E16" s="732">
        <f t="shared" ca="1" si="0"/>
        <v>21874.302258727024</v>
      </c>
      <c r="F16" s="732">
        <f t="shared" si="0"/>
        <v>7334.2321332537394</v>
      </c>
      <c r="G16" s="732">
        <f t="shared" ca="1" si="0"/>
        <v>47478.362204033008</v>
      </c>
      <c r="H16" s="732">
        <f t="shared" si="0"/>
        <v>0</v>
      </c>
      <c r="I16" s="732">
        <f t="shared" si="0"/>
        <v>0</v>
      </c>
      <c r="J16" s="732">
        <f t="shared" si="0"/>
        <v>0</v>
      </c>
      <c r="K16" s="732">
        <f t="shared" si="0"/>
        <v>9.1749059951104397E-2</v>
      </c>
      <c r="L16" s="732">
        <f t="shared" si="0"/>
        <v>0</v>
      </c>
      <c r="M16" s="732">
        <f t="shared" ca="1" si="0"/>
        <v>0</v>
      </c>
      <c r="N16" s="732">
        <f t="shared" si="0"/>
        <v>0</v>
      </c>
      <c r="O16" s="732">
        <f t="shared" ca="1" si="0"/>
        <v>7087.4276530617772</v>
      </c>
      <c r="P16" s="732">
        <f t="shared" si="0"/>
        <v>156.33333333333334</v>
      </c>
      <c r="Q16" s="732">
        <f t="shared" si="0"/>
        <v>1029.5999999999999</v>
      </c>
      <c r="R16" s="732">
        <f t="shared" ca="1" si="0"/>
        <v>110512.52935658372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276.38276231417899</v>
      </c>
      <c r="I19" s="1013">
        <f>transport!H54</f>
        <v>0</v>
      </c>
      <c r="J19" s="1013">
        <f>transport!I54</f>
        <v>0</v>
      </c>
      <c r="K19" s="1013">
        <f>transport!J54</f>
        <v>0</v>
      </c>
      <c r="L19" s="1013">
        <f>transport!K54</f>
        <v>0</v>
      </c>
      <c r="M19" s="1013">
        <f>transport!L54</f>
        <v>0</v>
      </c>
      <c r="N19" s="1013">
        <f>transport!M54</f>
        <v>15.697320786629751</v>
      </c>
      <c r="O19" s="1013">
        <f>transport!N54</f>
        <v>0</v>
      </c>
      <c r="P19" s="1013">
        <f>transport!O54</f>
        <v>0</v>
      </c>
      <c r="Q19" s="1014">
        <f>transport!P54</f>
        <v>0</v>
      </c>
      <c r="R19" s="700">
        <f>SUM(C19:Q19)</f>
        <v>292.08008310080874</v>
      </c>
      <c r="S19" s="67"/>
    </row>
    <row r="20" spans="1:19" s="473" customFormat="1">
      <c r="A20" s="809" t="s">
        <v>307</v>
      </c>
      <c r="B20" s="814"/>
      <c r="C20" s="1013">
        <f>transport!B14</f>
        <v>26.631492381864689</v>
      </c>
      <c r="D20" s="1013">
        <f>transport!C14</f>
        <v>0</v>
      </c>
      <c r="E20" s="1013">
        <f>transport!D14</f>
        <v>102.40973310605793</v>
      </c>
      <c r="F20" s="1013">
        <f>transport!E14</f>
        <v>134.70905689221019</v>
      </c>
      <c r="G20" s="1013">
        <f>transport!F14</f>
        <v>0</v>
      </c>
      <c r="H20" s="1013">
        <f>transport!G14</f>
        <v>45825.922029071073</v>
      </c>
      <c r="I20" s="1013">
        <f>transport!H14</f>
        <v>11486.345544250395</v>
      </c>
      <c r="J20" s="1013">
        <f>transport!I14</f>
        <v>0</v>
      </c>
      <c r="K20" s="1013">
        <f>transport!J14</f>
        <v>0</v>
      </c>
      <c r="L20" s="1013">
        <f>transport!K14</f>
        <v>0</v>
      </c>
      <c r="M20" s="1013">
        <f>transport!L14</f>
        <v>0</v>
      </c>
      <c r="N20" s="1013">
        <f>transport!M14</f>
        <v>3016.2338598467109</v>
      </c>
      <c r="O20" s="1013">
        <f>transport!N14</f>
        <v>0</v>
      </c>
      <c r="P20" s="1013">
        <f>transport!O14</f>
        <v>0</v>
      </c>
      <c r="Q20" s="1014">
        <f>transport!P14</f>
        <v>0</v>
      </c>
      <c r="R20" s="700">
        <f>SUM(C20:Q20)</f>
        <v>60592.251715548315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26.631492381864689</v>
      </c>
      <c r="D22" s="812">
        <f t="shared" ref="D22:R22" si="1">SUM(D18:D21)</f>
        <v>0</v>
      </c>
      <c r="E22" s="812">
        <f t="shared" si="1"/>
        <v>102.40973310605793</v>
      </c>
      <c r="F22" s="812">
        <f t="shared" si="1"/>
        <v>134.70905689221019</v>
      </c>
      <c r="G22" s="812">
        <f t="shared" si="1"/>
        <v>0</v>
      </c>
      <c r="H22" s="812">
        <f t="shared" si="1"/>
        <v>46102.30479138525</v>
      </c>
      <c r="I22" s="812">
        <f t="shared" si="1"/>
        <v>11486.345544250395</v>
      </c>
      <c r="J22" s="812">
        <f t="shared" si="1"/>
        <v>0</v>
      </c>
      <c r="K22" s="812">
        <f t="shared" si="1"/>
        <v>0</v>
      </c>
      <c r="L22" s="812">
        <f t="shared" si="1"/>
        <v>0</v>
      </c>
      <c r="M22" s="812">
        <f t="shared" si="1"/>
        <v>0</v>
      </c>
      <c r="N22" s="812">
        <f t="shared" si="1"/>
        <v>3031.9311806333408</v>
      </c>
      <c r="O22" s="812">
        <f t="shared" si="1"/>
        <v>0</v>
      </c>
      <c r="P22" s="812">
        <f t="shared" si="1"/>
        <v>0</v>
      </c>
      <c r="Q22" s="812">
        <f t="shared" si="1"/>
        <v>0</v>
      </c>
      <c r="R22" s="812">
        <f t="shared" si="1"/>
        <v>60884.331798649124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156.82499999999999</v>
      </c>
      <c r="D24" s="1013">
        <f>+landbouw!C8</f>
        <v>0</v>
      </c>
      <c r="E24" s="1013">
        <f>+landbouw!D8</f>
        <v>53.831360000000004</v>
      </c>
      <c r="F24" s="1013">
        <f>+landbouw!E8</f>
        <v>4.6095657488367632</v>
      </c>
      <c r="G24" s="1013">
        <f>+landbouw!F8</f>
        <v>653.32447562180039</v>
      </c>
      <c r="H24" s="1013">
        <f>+landbouw!G8</f>
        <v>0</v>
      </c>
      <c r="I24" s="1013">
        <f>+landbouw!H8</f>
        <v>0</v>
      </c>
      <c r="J24" s="1013">
        <f>+landbouw!I8</f>
        <v>0</v>
      </c>
      <c r="K24" s="1013">
        <f>+landbouw!J8</f>
        <v>22.720574644573539</v>
      </c>
      <c r="L24" s="1013">
        <f>+landbouw!K8</f>
        <v>0</v>
      </c>
      <c r="M24" s="1013">
        <f>+landbouw!L8</f>
        <v>0</v>
      </c>
      <c r="N24" s="1013">
        <f>+landbouw!M8</f>
        <v>0</v>
      </c>
      <c r="O24" s="1013">
        <f>+landbouw!N8</f>
        <v>0</v>
      </c>
      <c r="P24" s="1013">
        <f>+landbouw!O8</f>
        <v>0</v>
      </c>
      <c r="Q24" s="1014">
        <f>+landbouw!P8</f>
        <v>0</v>
      </c>
      <c r="R24" s="700">
        <f>SUM(C24:Q24)</f>
        <v>891.31097601521071</v>
      </c>
      <c r="S24" s="67"/>
    </row>
    <row r="25" spans="1:19" s="473" customFormat="1" ht="15" thickBot="1">
      <c r="A25" s="831" t="s">
        <v>836</v>
      </c>
      <c r="B25" s="1016"/>
      <c r="C25" s="1017">
        <f>IF(Onbekend_ele_kWh="---",0,Onbekend_ele_kWh)/1000+IF(REST_rest_ele_kWh="---",0,REST_rest_ele_kWh)/1000</f>
        <v>338.7002</v>
      </c>
      <c r="D25" s="1017"/>
      <c r="E25" s="1017">
        <f>IF(onbekend_gas_kWh="---",0,onbekend_gas_kWh)/1000+IF(REST_rest_gas_kWh="---",0,REST_rest_gas_kWh)/1000</f>
        <v>149.37299999999999</v>
      </c>
      <c r="F25" s="1017"/>
      <c r="G25" s="1017"/>
      <c r="H25" s="1017"/>
      <c r="I25" s="1017"/>
      <c r="J25" s="1017"/>
      <c r="K25" s="1017"/>
      <c r="L25" s="1017"/>
      <c r="M25" s="1017"/>
      <c r="N25" s="1017"/>
      <c r="O25" s="1017"/>
      <c r="P25" s="1017"/>
      <c r="Q25" s="1018"/>
      <c r="R25" s="700">
        <f>SUM(C25:Q25)</f>
        <v>488.07319999999999</v>
      </c>
      <c r="S25" s="67"/>
    </row>
    <row r="26" spans="1:19" s="473" customFormat="1" ht="15.75" thickBot="1">
      <c r="A26" s="705" t="s">
        <v>837</v>
      </c>
      <c r="B26" s="817"/>
      <c r="C26" s="812">
        <f>SUM(C24:C25)</f>
        <v>495.52519999999998</v>
      </c>
      <c r="D26" s="812">
        <f t="shared" ref="D26:R26" si="2">SUM(D24:D25)</f>
        <v>0</v>
      </c>
      <c r="E26" s="812">
        <f t="shared" si="2"/>
        <v>203.20436000000001</v>
      </c>
      <c r="F26" s="812">
        <f t="shared" si="2"/>
        <v>4.6095657488367632</v>
      </c>
      <c r="G26" s="812">
        <f t="shared" si="2"/>
        <v>653.32447562180039</v>
      </c>
      <c r="H26" s="812">
        <f t="shared" si="2"/>
        <v>0</v>
      </c>
      <c r="I26" s="812">
        <f t="shared" si="2"/>
        <v>0</v>
      </c>
      <c r="J26" s="812">
        <f t="shared" si="2"/>
        <v>0</v>
      </c>
      <c r="K26" s="812">
        <f t="shared" si="2"/>
        <v>22.720574644573539</v>
      </c>
      <c r="L26" s="812">
        <f t="shared" si="2"/>
        <v>0</v>
      </c>
      <c r="M26" s="812">
        <f t="shared" si="2"/>
        <v>0</v>
      </c>
      <c r="N26" s="812">
        <f t="shared" si="2"/>
        <v>0</v>
      </c>
      <c r="O26" s="812">
        <f t="shared" si="2"/>
        <v>0</v>
      </c>
      <c r="P26" s="812">
        <f t="shared" si="2"/>
        <v>0</v>
      </c>
      <c r="Q26" s="812">
        <f t="shared" si="2"/>
        <v>0</v>
      </c>
      <c r="R26" s="812">
        <f t="shared" si="2"/>
        <v>1379.3841760152106</v>
      </c>
      <c r="S26" s="67"/>
    </row>
    <row r="27" spans="1:19" s="473" customFormat="1" ht="17.25" thickTop="1" thickBot="1">
      <c r="A27" s="706" t="s">
        <v>116</v>
      </c>
      <c r="B27" s="805"/>
      <c r="C27" s="707">
        <f ca="1">C22+C16+C26</f>
        <v>26062.161041821091</v>
      </c>
      <c r="D27" s="707">
        <f t="shared" ref="D27:R27" ca="1" si="3">D22+D16+D26</f>
        <v>12.175675675675675</v>
      </c>
      <c r="E27" s="707">
        <f t="shared" ca="1" si="3"/>
        <v>22179.916351833082</v>
      </c>
      <c r="F27" s="707">
        <f t="shared" si="3"/>
        <v>7473.5507558947866</v>
      </c>
      <c r="G27" s="707">
        <f t="shared" ca="1" si="3"/>
        <v>48131.686679654806</v>
      </c>
      <c r="H27" s="707">
        <f t="shared" si="3"/>
        <v>46102.30479138525</v>
      </c>
      <c r="I27" s="707">
        <f t="shared" si="3"/>
        <v>11486.345544250395</v>
      </c>
      <c r="J27" s="707">
        <f t="shared" si="3"/>
        <v>0</v>
      </c>
      <c r="K27" s="707">
        <f t="shared" si="3"/>
        <v>22.812323704524644</v>
      </c>
      <c r="L27" s="707">
        <f t="shared" si="3"/>
        <v>0</v>
      </c>
      <c r="M27" s="707">
        <f t="shared" ca="1" si="3"/>
        <v>0</v>
      </c>
      <c r="N27" s="707">
        <f t="shared" si="3"/>
        <v>3031.9311806333408</v>
      </c>
      <c r="O27" s="707">
        <f t="shared" ca="1" si="3"/>
        <v>7087.4276530617772</v>
      </c>
      <c r="P27" s="707">
        <f t="shared" si="3"/>
        <v>156.33333333333334</v>
      </c>
      <c r="Q27" s="707">
        <f t="shared" si="3"/>
        <v>1029.5999999999999</v>
      </c>
      <c r="R27" s="707">
        <f t="shared" ca="1" si="3"/>
        <v>172776.24533124806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1291.2520968729557</v>
      </c>
      <c r="D40" s="1013">
        <f ca="1">tertiair!C20</f>
        <v>2.7327627627627624</v>
      </c>
      <c r="E40" s="1013">
        <f ca="1">tertiair!D20</f>
        <v>711.6692684258594</v>
      </c>
      <c r="F40" s="1013">
        <f>tertiair!E20</f>
        <v>30.008661509706346</v>
      </c>
      <c r="G40" s="1013">
        <f ca="1">tertiair!F20</f>
        <v>302.02308475115939</v>
      </c>
      <c r="H40" s="1013">
        <f>tertiair!G20</f>
        <v>0</v>
      </c>
      <c r="I40" s="1013">
        <f>tertiair!H20</f>
        <v>0</v>
      </c>
      <c r="J40" s="1013">
        <f>tertiair!I20</f>
        <v>0</v>
      </c>
      <c r="K40" s="1013">
        <f>tertiair!J20</f>
        <v>4.8656784160466945E-3</v>
      </c>
      <c r="L40" s="1013">
        <f>tertiair!K20</f>
        <v>0</v>
      </c>
      <c r="M40" s="1013">
        <f ca="1">tertiair!L20</f>
        <v>0</v>
      </c>
      <c r="N40" s="1013">
        <f>tertiair!M20</f>
        <v>0</v>
      </c>
      <c r="O40" s="1013">
        <f ca="1">tertiair!N20</f>
        <v>0</v>
      </c>
      <c r="P40" s="1013">
        <f>tertiair!O20</f>
        <v>0</v>
      </c>
      <c r="Q40" s="774">
        <f>tertiair!P20</f>
        <v>0</v>
      </c>
      <c r="R40" s="850">
        <f t="shared" ca="1" si="4"/>
        <v>2337.6907400008599</v>
      </c>
    </row>
    <row r="41" spans="1:18">
      <c r="A41" s="822" t="s">
        <v>225</v>
      </c>
      <c r="B41" s="829"/>
      <c r="C41" s="1013">
        <f ca="1">huishoudens!B12</f>
        <v>3343.8573992053484</v>
      </c>
      <c r="D41" s="1013">
        <f ca="1">huishoudens!C12</f>
        <v>0</v>
      </c>
      <c r="E41" s="1013">
        <f>huishoudens!D12</f>
        <v>3612.3006615850004</v>
      </c>
      <c r="F41" s="1013">
        <f>huishoudens!E12</f>
        <v>1590.5187708845419</v>
      </c>
      <c r="G41" s="1013">
        <f>huishoudens!F12</f>
        <v>12222.103473343626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20768.780305018518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229.33137853435582</v>
      </c>
      <c r="D43" s="1013">
        <f ca="1">industrie!C22</f>
        <v>0</v>
      </c>
      <c r="E43" s="1013">
        <f>industrie!D22</f>
        <v>94.639126252000011</v>
      </c>
      <c r="F43" s="1013">
        <f>industrie!E22</f>
        <v>44.343261854350544</v>
      </c>
      <c r="G43" s="1013">
        <f>industrie!F22</f>
        <v>152.5961503820279</v>
      </c>
      <c r="H43" s="1013">
        <f>industrie!G22</f>
        <v>0</v>
      </c>
      <c r="I43" s="1013">
        <f>industrie!H22</f>
        <v>0</v>
      </c>
      <c r="J43" s="1013">
        <f>industrie!I22</f>
        <v>0</v>
      </c>
      <c r="K43" s="1013">
        <f>industrie!J22</f>
        <v>2.7613488806644264E-2</v>
      </c>
      <c r="L43" s="1013">
        <f>industrie!K22</f>
        <v>0</v>
      </c>
      <c r="M43" s="1013">
        <f>industrie!L22</f>
        <v>0</v>
      </c>
      <c r="N43" s="1013">
        <f>industrie!M22</f>
        <v>0</v>
      </c>
      <c r="O43" s="1013">
        <f>industrie!N22</f>
        <v>0</v>
      </c>
      <c r="P43" s="1013">
        <f>industrie!O22</f>
        <v>0</v>
      </c>
      <c r="Q43" s="774">
        <f>industrie!P22</f>
        <v>0</v>
      </c>
      <c r="R43" s="849">
        <f t="shared" ca="1" si="4"/>
        <v>520.9375305115409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4864.4408746126601</v>
      </c>
      <c r="D46" s="732">
        <f t="shared" ref="D46:Q46" ca="1" si="5">SUM(D39:D45)</f>
        <v>2.7327627627627624</v>
      </c>
      <c r="E46" s="732">
        <f t="shared" ca="1" si="5"/>
        <v>4418.6090562628597</v>
      </c>
      <c r="F46" s="732">
        <f t="shared" si="5"/>
        <v>1664.8706942485987</v>
      </c>
      <c r="G46" s="732">
        <f t="shared" ca="1" si="5"/>
        <v>12676.722708476813</v>
      </c>
      <c r="H46" s="732">
        <f t="shared" si="5"/>
        <v>0</v>
      </c>
      <c r="I46" s="732">
        <f t="shared" si="5"/>
        <v>0</v>
      </c>
      <c r="J46" s="732">
        <f t="shared" si="5"/>
        <v>0</v>
      </c>
      <c r="K46" s="732">
        <f t="shared" si="5"/>
        <v>3.2479167222690959E-2</v>
      </c>
      <c r="L46" s="732">
        <f t="shared" si="5"/>
        <v>0</v>
      </c>
      <c r="M46" s="732">
        <f t="shared" ca="1" si="5"/>
        <v>0</v>
      </c>
      <c r="N46" s="732">
        <f t="shared" si="5"/>
        <v>0</v>
      </c>
      <c r="O46" s="732">
        <f t="shared" ca="1" si="5"/>
        <v>0</v>
      </c>
      <c r="P46" s="732">
        <f t="shared" si="5"/>
        <v>0</v>
      </c>
      <c r="Q46" s="732">
        <f t="shared" si="5"/>
        <v>0</v>
      </c>
      <c r="R46" s="732">
        <f ca="1">SUM(R39:R45)</f>
        <v>23627.408575530921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73.794197537885793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73.794197537885793</v>
      </c>
    </row>
    <row r="50" spans="1:18">
      <c r="A50" s="825" t="s">
        <v>307</v>
      </c>
      <c r="B50" s="835"/>
      <c r="C50" s="703">
        <f ca="1">transport!B18</f>
        <v>5.0723296018985478</v>
      </c>
      <c r="D50" s="703">
        <f>transport!C18</f>
        <v>0</v>
      </c>
      <c r="E50" s="703">
        <f>transport!D18</f>
        <v>20.686766087423702</v>
      </c>
      <c r="F50" s="703">
        <f>transport!E18</f>
        <v>30.578955914531711</v>
      </c>
      <c r="G50" s="703">
        <f>transport!F18</f>
        <v>0</v>
      </c>
      <c r="H50" s="703">
        <f>transport!G18</f>
        <v>12235.521181761977</v>
      </c>
      <c r="I50" s="703">
        <f>transport!H18</f>
        <v>2860.1000405183481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15151.959273884178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5.0723296018985478</v>
      </c>
      <c r="D52" s="732">
        <f t="shared" ref="D52:Q52" ca="1" si="6">SUM(D48:D51)</f>
        <v>0</v>
      </c>
      <c r="E52" s="732">
        <f t="shared" si="6"/>
        <v>20.686766087423702</v>
      </c>
      <c r="F52" s="732">
        <f t="shared" si="6"/>
        <v>30.578955914531711</v>
      </c>
      <c r="G52" s="732">
        <f t="shared" si="6"/>
        <v>0</v>
      </c>
      <c r="H52" s="732">
        <f t="shared" si="6"/>
        <v>12309.315379299862</v>
      </c>
      <c r="I52" s="732">
        <f t="shared" si="6"/>
        <v>2860.1000405183481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15225.753471422064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29.869452241415939</v>
      </c>
      <c r="D54" s="703">
        <f ca="1">+landbouw!C12</f>
        <v>0</v>
      </c>
      <c r="E54" s="703">
        <f>+landbouw!D12</f>
        <v>10.873934720000001</v>
      </c>
      <c r="F54" s="703">
        <f>+landbouw!E12</f>
        <v>1.0463714249859453</v>
      </c>
      <c r="G54" s="703">
        <f>+landbouw!F12</f>
        <v>174.4376349910207</v>
      </c>
      <c r="H54" s="703">
        <f>+landbouw!G12</f>
        <v>0</v>
      </c>
      <c r="I54" s="703">
        <f>+landbouw!H12</f>
        <v>0</v>
      </c>
      <c r="J54" s="703">
        <f>+landbouw!I12</f>
        <v>0</v>
      </c>
      <c r="K54" s="703">
        <f>+landbouw!J12</f>
        <v>8.0430834241790325</v>
      </c>
      <c r="L54" s="703">
        <f>+landbouw!K12</f>
        <v>0</v>
      </c>
      <c r="M54" s="703">
        <f>+landbouw!L12</f>
        <v>0</v>
      </c>
      <c r="N54" s="703">
        <f>+landbouw!M12</f>
        <v>0</v>
      </c>
      <c r="O54" s="703">
        <f>+landbouw!N12</f>
        <v>0</v>
      </c>
      <c r="P54" s="703">
        <f>+landbouw!O12</f>
        <v>0</v>
      </c>
      <c r="Q54" s="704">
        <f>+landbouw!P12</f>
        <v>0</v>
      </c>
      <c r="R54" s="731">
        <f ca="1">SUM(C54:Q54)</f>
        <v>224.2704768016016</v>
      </c>
    </row>
    <row r="55" spans="1:18" ht="15" thickBot="1">
      <c r="A55" s="825" t="s">
        <v>836</v>
      </c>
      <c r="B55" s="835"/>
      <c r="C55" s="703">
        <f ca="1">C25*'EF ele_warmte'!B12</f>
        <v>64.510055463465818</v>
      </c>
      <c r="D55" s="703"/>
      <c r="E55" s="703">
        <f>E25*EF_CO2_aardgas</f>
        <v>30.173345999999999</v>
      </c>
      <c r="F55" s="703"/>
      <c r="G55" s="703"/>
      <c r="H55" s="703"/>
      <c r="I55" s="703"/>
      <c r="J55" s="703"/>
      <c r="K55" s="703"/>
      <c r="L55" s="703"/>
      <c r="M55" s="703"/>
      <c r="N55" s="703"/>
      <c r="O55" s="703"/>
      <c r="P55" s="703"/>
      <c r="Q55" s="704"/>
      <c r="R55" s="731">
        <f ca="1">SUM(C55:Q55)</f>
        <v>94.683401463465813</v>
      </c>
    </row>
    <row r="56" spans="1:18" ht="15.75" thickBot="1">
      <c r="A56" s="823" t="s">
        <v>837</v>
      </c>
      <c r="B56" s="836"/>
      <c r="C56" s="732">
        <f ca="1">SUM(C54:C55)</f>
        <v>94.37950770488176</v>
      </c>
      <c r="D56" s="732">
        <f t="shared" ref="D56:Q56" ca="1" si="7">SUM(D54:D55)</f>
        <v>0</v>
      </c>
      <c r="E56" s="732">
        <f t="shared" si="7"/>
        <v>41.047280720000003</v>
      </c>
      <c r="F56" s="732">
        <f t="shared" si="7"/>
        <v>1.0463714249859453</v>
      </c>
      <c r="G56" s="732">
        <f t="shared" si="7"/>
        <v>174.4376349910207</v>
      </c>
      <c r="H56" s="732">
        <f t="shared" si="7"/>
        <v>0</v>
      </c>
      <c r="I56" s="732">
        <f t="shared" si="7"/>
        <v>0</v>
      </c>
      <c r="J56" s="732">
        <f t="shared" si="7"/>
        <v>0</v>
      </c>
      <c r="K56" s="732">
        <f t="shared" si="7"/>
        <v>8.0430834241790325</v>
      </c>
      <c r="L56" s="732">
        <f t="shared" si="7"/>
        <v>0</v>
      </c>
      <c r="M56" s="732">
        <f t="shared" si="7"/>
        <v>0</v>
      </c>
      <c r="N56" s="732">
        <f t="shared" si="7"/>
        <v>0</v>
      </c>
      <c r="O56" s="732">
        <f t="shared" si="7"/>
        <v>0</v>
      </c>
      <c r="P56" s="732">
        <f t="shared" si="7"/>
        <v>0</v>
      </c>
      <c r="Q56" s="733">
        <f t="shared" si="7"/>
        <v>0</v>
      </c>
      <c r="R56" s="734">
        <f ca="1">SUM(R54:R55)</f>
        <v>318.95387826506743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4963.8927119194404</v>
      </c>
      <c r="D61" s="740">
        <f t="shared" ref="D61:Q61" ca="1" si="8">D46+D52+D56</f>
        <v>2.7327627627627624</v>
      </c>
      <c r="E61" s="740">
        <f t="shared" ca="1" si="8"/>
        <v>4480.3431030702841</v>
      </c>
      <c r="F61" s="740">
        <f t="shared" si="8"/>
        <v>1696.4960215881163</v>
      </c>
      <c r="G61" s="740">
        <f t="shared" ca="1" si="8"/>
        <v>12851.160343467833</v>
      </c>
      <c r="H61" s="740">
        <f t="shared" si="8"/>
        <v>12309.315379299862</v>
      </c>
      <c r="I61" s="740">
        <f t="shared" si="8"/>
        <v>2860.1000405183481</v>
      </c>
      <c r="J61" s="740">
        <f t="shared" si="8"/>
        <v>0</v>
      </c>
      <c r="K61" s="740">
        <f t="shared" si="8"/>
        <v>8.0755625914017237</v>
      </c>
      <c r="L61" s="740">
        <f t="shared" si="8"/>
        <v>0</v>
      </c>
      <c r="M61" s="740">
        <f t="shared" ca="1" si="8"/>
        <v>0</v>
      </c>
      <c r="N61" s="740">
        <f t="shared" si="8"/>
        <v>0</v>
      </c>
      <c r="O61" s="740">
        <f t="shared" ca="1" si="8"/>
        <v>0</v>
      </c>
      <c r="P61" s="740">
        <f t="shared" si="8"/>
        <v>0</v>
      </c>
      <c r="Q61" s="740">
        <f t="shared" si="8"/>
        <v>0</v>
      </c>
      <c r="R61" s="740">
        <f ca="1">R46+R52+R56</f>
        <v>39172.115925218059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0.19046358833997093</v>
      </c>
      <c r="D63" s="781">
        <f t="shared" ca="1" si="9"/>
        <v>0.22444444444444442</v>
      </c>
      <c r="E63" s="1024">
        <f t="shared" ca="1" si="9"/>
        <v>0.20200000000000007</v>
      </c>
      <c r="F63" s="781">
        <f t="shared" si="9"/>
        <v>0.22699999999999995</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3601.2405253429779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8.5</v>
      </c>
      <c r="D76" s="1034">
        <f>'lokale energieproductie'!C8</f>
        <v>9.4444444444444429</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1.9077777777777776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3601.2405253429779</v>
      </c>
      <c r="C78" s="755">
        <f>SUM(C72:C77)</f>
        <v>8.5</v>
      </c>
      <c r="D78" s="756">
        <f t="shared" ref="D78:H78" si="10">SUM(D76:D77)</f>
        <v>9.4444444444444429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1.9077777777777776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12.175675675675675</v>
      </c>
      <c r="D87" s="777">
        <f>'lokale energieproductie'!C17</f>
        <v>13.528528528528525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2.7327627627627624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12.175675675675675</v>
      </c>
      <c r="D90" s="755">
        <f t="shared" ref="D90:H90" si="12">SUM(D87:D89)</f>
        <v>13.528528528528525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2.7327627627627624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3601.2405253429779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8.5</v>
      </c>
      <c r="C8" s="570">
        <f>B101</f>
        <v>9.4444444444444429</v>
      </c>
      <c r="D8" s="1044"/>
      <c r="E8" s="1044">
        <f>E101</f>
        <v>0</v>
      </c>
      <c r="F8" s="1045"/>
      <c r="G8" s="571"/>
      <c r="H8" s="1044">
        <f>I101</f>
        <v>0</v>
      </c>
      <c r="I8" s="1044">
        <f>G101+F101</f>
        <v>0</v>
      </c>
      <c r="J8" s="1044">
        <f>H101+D101+C101</f>
        <v>0</v>
      </c>
      <c r="K8" s="1044"/>
      <c r="L8" s="1044"/>
      <c r="M8" s="1044"/>
      <c r="N8" s="572"/>
      <c r="O8" s="573">
        <f>C8*$C$12+D8*$D$12+E8*$E$12+F8*$F$12+G8*$G$12+H8*$H$12+I8*$I$12+J8*$J$12</f>
        <v>1.9077777777777776</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3609.7405253429779</v>
      </c>
      <c r="C10" s="583">
        <f t="shared" ref="C10:L10" si="0">SUM(C8:C9)</f>
        <v>9.4444444444444429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1.9077777777777776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12.175675675675675</v>
      </c>
      <c r="C17" s="595">
        <f>B102</f>
        <v>13.528528528528525</v>
      </c>
      <c r="D17" s="596"/>
      <c r="E17" s="596">
        <f>E102</f>
        <v>0</v>
      </c>
      <c r="F17" s="1050"/>
      <c r="G17" s="597"/>
      <c r="H17" s="595">
        <f>I102</f>
        <v>0</v>
      </c>
      <c r="I17" s="596">
        <f>G102+F102</f>
        <v>0</v>
      </c>
      <c r="J17" s="596">
        <f>H102+D102+C102</f>
        <v>0</v>
      </c>
      <c r="K17" s="596"/>
      <c r="L17" s="596"/>
      <c r="M17" s="596"/>
      <c r="N17" s="1051"/>
      <c r="O17" s="598">
        <f>C17*$C$22+E17*$E$22+H17*$H$22+I17*$I$22+J17*$J$22+D17*$D$22+F17*$F$22+G17*$G$22+K17*$K$22+L17*$L$22</f>
        <v>2.7327627627627624</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12.175675675675675</v>
      </c>
      <c r="C20" s="582">
        <f>SUM(C17:C19)</f>
        <v>13.528528528528525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2.7327627627627624</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24007</v>
      </c>
      <c r="C28" s="796">
        <v>3130</v>
      </c>
      <c r="D28" s="653"/>
      <c r="E28" s="652"/>
      <c r="F28" s="652" t="s">
        <v>881</v>
      </c>
      <c r="G28" s="652" t="s">
        <v>882</v>
      </c>
      <c r="H28" s="652" t="s">
        <v>882</v>
      </c>
      <c r="I28" s="652" t="s">
        <v>883</v>
      </c>
      <c r="J28" s="795">
        <v>41736</v>
      </c>
      <c r="K28" s="795">
        <v>42153</v>
      </c>
      <c r="L28" s="652" t="s">
        <v>884</v>
      </c>
      <c r="M28" s="652">
        <v>1.7</v>
      </c>
      <c r="N28" s="652">
        <v>8.5</v>
      </c>
      <c r="O28" s="652">
        <v>12.175675675675675</v>
      </c>
      <c r="P28" s="652">
        <v>22.972972972972972</v>
      </c>
      <c r="Q28" s="652">
        <v>0</v>
      </c>
      <c r="R28" s="652">
        <v>0</v>
      </c>
      <c r="S28" s="652">
        <v>0</v>
      </c>
      <c r="T28" s="652">
        <v>0</v>
      </c>
      <c r="U28" s="652">
        <v>0</v>
      </c>
      <c r="V28" s="652">
        <v>0</v>
      </c>
      <c r="W28" s="652">
        <v>0</v>
      </c>
      <c r="X28" s="652">
        <v>1100</v>
      </c>
      <c r="Y28" s="652" t="s">
        <v>52</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1.7</v>
      </c>
      <c r="N58" s="610">
        <f>SUM(N28:N57)</f>
        <v>8.5</v>
      </c>
      <c r="O58" s="610">
        <f t="shared" ref="O58:W58" si="2">SUM(O28:O57)</f>
        <v>12.175675675675675</v>
      </c>
      <c r="P58" s="610">
        <f t="shared" si="2"/>
        <v>22.972972972972972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1.7</v>
      </c>
      <c r="N60" s="610">
        <f ca="1">SUMIF($Z$28:AD57,"tertiair",N28:N57)</f>
        <v>8.5</v>
      </c>
      <c r="O60" s="610">
        <f ca="1">SUMIF($Z$28:AE57,"tertiair",O28:O57)</f>
        <v>12.175675675675675</v>
      </c>
      <c r="P60" s="610">
        <f ca="1">SUMIF($Z$28:AF57,"tertiair",P28:P57)</f>
        <v>22.972972972972972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0.5888888888888888</v>
      </c>
      <c r="C98" s="635">
        <f>IF(ISERROR(N58/(O58+N58)),0,N58/(N58+O58))</f>
        <v>0.41111111111111109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9.4444444444444429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13.528528528528525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17556.412899439227</v>
      </c>
      <c r="C4" s="477">
        <f>huishoudens!C8</f>
        <v>0</v>
      </c>
      <c r="D4" s="477">
        <f>huishoudens!D8</f>
        <v>17882.676542500001</v>
      </c>
      <c r="E4" s="477">
        <f>huishoudens!E8</f>
        <v>7006.6906206367485</v>
      </c>
      <c r="F4" s="477">
        <f>huishoudens!F8</f>
        <v>45775.668439489236</v>
      </c>
      <c r="G4" s="477">
        <f>huishoudens!G8</f>
        <v>0</v>
      </c>
      <c r="H4" s="477">
        <f>huishoudens!H8</f>
        <v>0</v>
      </c>
      <c r="I4" s="477">
        <f>huishoudens!I8</f>
        <v>0</v>
      </c>
      <c r="J4" s="477">
        <f>huishoudens!J8</f>
        <v>0</v>
      </c>
      <c r="K4" s="477">
        <f>huishoudens!K8</f>
        <v>0</v>
      </c>
      <c r="L4" s="477">
        <f>huishoudens!L8</f>
        <v>0</v>
      </c>
      <c r="M4" s="477">
        <f>huishoudens!M8</f>
        <v>0</v>
      </c>
      <c r="N4" s="477">
        <f>huishoudens!N8</f>
        <v>6293.5373878308073</v>
      </c>
      <c r="O4" s="477">
        <f>huishoudens!O8</f>
        <v>156.33333333333334</v>
      </c>
      <c r="P4" s="478">
        <f>huishoudens!P8</f>
        <v>1029.5999999999999</v>
      </c>
      <c r="Q4" s="479">
        <f>SUM(B4:P4)</f>
        <v>95700.919223229343</v>
      </c>
    </row>
    <row r="5" spans="1:17">
      <c r="A5" s="476" t="s">
        <v>156</v>
      </c>
      <c r="B5" s="477">
        <f ca="1">tertiair!B16</f>
        <v>6233.4830499999998</v>
      </c>
      <c r="C5" s="477">
        <f ca="1">tertiair!C16</f>
        <v>12.175675675675675</v>
      </c>
      <c r="D5" s="477">
        <f ca="1">tertiair!D16</f>
        <v>3523.1151902270267</v>
      </c>
      <c r="E5" s="477">
        <f>tertiair!E16</f>
        <v>132.19674673879447</v>
      </c>
      <c r="F5" s="477">
        <f ca="1">tertiair!F16</f>
        <v>1131.1726020642673</v>
      </c>
      <c r="G5" s="477">
        <f>tertiair!G16</f>
        <v>0</v>
      </c>
      <c r="H5" s="477">
        <f>tertiair!H16</f>
        <v>0</v>
      </c>
      <c r="I5" s="477">
        <f>tertiair!I16</f>
        <v>0</v>
      </c>
      <c r="J5" s="477">
        <f>tertiair!J16</f>
        <v>1.3744854282617781E-2</v>
      </c>
      <c r="K5" s="477">
        <f>tertiair!K16</f>
        <v>0</v>
      </c>
      <c r="L5" s="477">
        <f ca="1">tertiair!L16</f>
        <v>0</v>
      </c>
      <c r="M5" s="477">
        <f>tertiair!M16</f>
        <v>0</v>
      </c>
      <c r="N5" s="477">
        <f ca="1">tertiair!N16</f>
        <v>551.75348895513912</v>
      </c>
      <c r="O5" s="477">
        <f>tertiair!O16</f>
        <v>0</v>
      </c>
      <c r="P5" s="478">
        <f>tertiair!P16</f>
        <v>0</v>
      </c>
      <c r="Q5" s="476">
        <f t="shared" ref="Q5:Q14" ca="1" si="0">SUM(B5:P5)</f>
        <v>11583.910498515186</v>
      </c>
    </row>
    <row r="6" spans="1:17">
      <c r="A6" s="476" t="s">
        <v>194</v>
      </c>
      <c r="B6" s="477">
        <f>'openbare verlichting'!B8</f>
        <v>546.03899999999999</v>
      </c>
      <c r="C6" s="477"/>
      <c r="D6" s="477"/>
      <c r="E6" s="477"/>
      <c r="F6" s="477"/>
      <c r="G6" s="477"/>
      <c r="H6" s="477"/>
      <c r="I6" s="477"/>
      <c r="J6" s="477"/>
      <c r="K6" s="477"/>
      <c r="L6" s="477"/>
      <c r="M6" s="477"/>
      <c r="N6" s="477"/>
      <c r="O6" s="477"/>
      <c r="P6" s="478"/>
      <c r="Q6" s="476">
        <f t="shared" si="0"/>
        <v>546.03899999999999</v>
      </c>
    </row>
    <row r="7" spans="1:17">
      <c r="A7" s="476" t="s">
        <v>112</v>
      </c>
      <c r="B7" s="477">
        <f>landbouw!B8</f>
        <v>156.82499999999999</v>
      </c>
      <c r="C7" s="477">
        <f>landbouw!C8</f>
        <v>0</v>
      </c>
      <c r="D7" s="477">
        <f>landbouw!D8</f>
        <v>53.831360000000004</v>
      </c>
      <c r="E7" s="477">
        <f>landbouw!E8</f>
        <v>4.6095657488367632</v>
      </c>
      <c r="F7" s="477">
        <f>landbouw!F8</f>
        <v>653.32447562180039</v>
      </c>
      <c r="G7" s="477">
        <f>landbouw!G8</f>
        <v>0</v>
      </c>
      <c r="H7" s="477">
        <f>landbouw!H8</f>
        <v>0</v>
      </c>
      <c r="I7" s="477">
        <f>landbouw!I8</f>
        <v>0</v>
      </c>
      <c r="J7" s="477">
        <f>landbouw!J8</f>
        <v>22.720574644573539</v>
      </c>
      <c r="K7" s="477">
        <f>landbouw!K8</f>
        <v>0</v>
      </c>
      <c r="L7" s="477">
        <f>landbouw!L8</f>
        <v>0</v>
      </c>
      <c r="M7" s="477">
        <f>landbouw!M8</f>
        <v>0</v>
      </c>
      <c r="N7" s="477">
        <f>landbouw!N8</f>
        <v>0</v>
      </c>
      <c r="O7" s="477">
        <f>landbouw!O8</f>
        <v>0</v>
      </c>
      <c r="P7" s="478">
        <f>landbouw!P8</f>
        <v>0</v>
      </c>
      <c r="Q7" s="476">
        <f t="shared" si="0"/>
        <v>891.31097601521071</v>
      </c>
    </row>
    <row r="8" spans="1:17">
      <c r="A8" s="476" t="s">
        <v>635</v>
      </c>
      <c r="B8" s="477">
        <f>industrie!B18</f>
        <v>1204.0694000000001</v>
      </c>
      <c r="C8" s="477">
        <f>industrie!C18</f>
        <v>0</v>
      </c>
      <c r="D8" s="477">
        <f>industrie!D18</f>
        <v>468.51052600000003</v>
      </c>
      <c r="E8" s="477">
        <f>industrie!E18</f>
        <v>195.34476587819623</v>
      </c>
      <c r="F8" s="477">
        <f>industrie!F18</f>
        <v>571.52116247950516</v>
      </c>
      <c r="G8" s="477">
        <f>industrie!G18</f>
        <v>0</v>
      </c>
      <c r="H8" s="477">
        <f>industrie!H18</f>
        <v>0</v>
      </c>
      <c r="I8" s="477">
        <f>industrie!I18</f>
        <v>0</v>
      </c>
      <c r="J8" s="477">
        <f>industrie!J18</f>
        <v>7.800420566848662E-2</v>
      </c>
      <c r="K8" s="477">
        <f>industrie!K18</f>
        <v>0</v>
      </c>
      <c r="L8" s="477">
        <f>industrie!L18</f>
        <v>0</v>
      </c>
      <c r="M8" s="477">
        <f>industrie!M18</f>
        <v>0</v>
      </c>
      <c r="N8" s="477">
        <f>industrie!N18</f>
        <v>242.13677627583084</v>
      </c>
      <c r="O8" s="477">
        <f>industrie!O18</f>
        <v>0</v>
      </c>
      <c r="P8" s="478">
        <f>industrie!P18</f>
        <v>0</v>
      </c>
      <c r="Q8" s="476">
        <f t="shared" si="0"/>
        <v>2681.6606348392011</v>
      </c>
    </row>
    <row r="9" spans="1:17" s="482" customFormat="1">
      <c r="A9" s="480" t="s">
        <v>561</v>
      </c>
      <c r="B9" s="481">
        <f>transport!B14</f>
        <v>26.631492381864689</v>
      </c>
      <c r="C9" s="481">
        <f>transport!C14</f>
        <v>0</v>
      </c>
      <c r="D9" s="481">
        <f>transport!D14</f>
        <v>102.40973310605793</v>
      </c>
      <c r="E9" s="481">
        <f>transport!E14</f>
        <v>134.70905689221019</v>
      </c>
      <c r="F9" s="481">
        <f>transport!F14</f>
        <v>0</v>
      </c>
      <c r="G9" s="481">
        <f>transport!G14</f>
        <v>45825.922029071073</v>
      </c>
      <c r="H9" s="481">
        <f>transport!H14</f>
        <v>11486.345544250395</v>
      </c>
      <c r="I9" s="481">
        <f>transport!I14</f>
        <v>0</v>
      </c>
      <c r="J9" s="481">
        <f>transport!J14</f>
        <v>0</v>
      </c>
      <c r="K9" s="481">
        <f>transport!K14</f>
        <v>0</v>
      </c>
      <c r="L9" s="481">
        <f>transport!L14</f>
        <v>0</v>
      </c>
      <c r="M9" s="481">
        <f>transport!M14</f>
        <v>3016.2338598467109</v>
      </c>
      <c r="N9" s="481">
        <f>transport!N14</f>
        <v>0</v>
      </c>
      <c r="O9" s="481">
        <f>transport!O14</f>
        <v>0</v>
      </c>
      <c r="P9" s="481">
        <f>transport!P14</f>
        <v>0</v>
      </c>
      <c r="Q9" s="480">
        <f>SUM(B9:P9)</f>
        <v>60592.251715548315</v>
      </c>
    </row>
    <row r="10" spans="1:17">
      <c r="A10" s="476" t="s">
        <v>551</v>
      </c>
      <c r="B10" s="477">
        <f>transport!B54</f>
        <v>0</v>
      </c>
      <c r="C10" s="477">
        <f>transport!C54</f>
        <v>0</v>
      </c>
      <c r="D10" s="477">
        <f>transport!D54</f>
        <v>0</v>
      </c>
      <c r="E10" s="477">
        <f>transport!E54</f>
        <v>0</v>
      </c>
      <c r="F10" s="477">
        <f>transport!F54</f>
        <v>0</v>
      </c>
      <c r="G10" s="477">
        <f>transport!G54</f>
        <v>276.38276231417899</v>
      </c>
      <c r="H10" s="477">
        <f>transport!H54</f>
        <v>0</v>
      </c>
      <c r="I10" s="477">
        <f>transport!I54</f>
        <v>0</v>
      </c>
      <c r="J10" s="477">
        <f>transport!J54</f>
        <v>0</v>
      </c>
      <c r="K10" s="477">
        <f>transport!K54</f>
        <v>0</v>
      </c>
      <c r="L10" s="477">
        <f>transport!L54</f>
        <v>0</v>
      </c>
      <c r="M10" s="477">
        <f>transport!M54</f>
        <v>15.697320786629751</v>
      </c>
      <c r="N10" s="477">
        <f>transport!N54</f>
        <v>0</v>
      </c>
      <c r="O10" s="477">
        <f>transport!O54</f>
        <v>0</v>
      </c>
      <c r="P10" s="478">
        <f>transport!P54</f>
        <v>0</v>
      </c>
      <c r="Q10" s="476">
        <f t="shared" si="0"/>
        <v>292.08008310080874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338.7002</v>
      </c>
      <c r="C14" s="484"/>
      <c r="D14" s="484">
        <f>'SEAP template'!E25</f>
        <v>149.37299999999999</v>
      </c>
      <c r="E14" s="484"/>
      <c r="F14" s="484"/>
      <c r="G14" s="484"/>
      <c r="H14" s="484"/>
      <c r="I14" s="484"/>
      <c r="J14" s="484"/>
      <c r="K14" s="484"/>
      <c r="L14" s="484"/>
      <c r="M14" s="484"/>
      <c r="N14" s="484"/>
      <c r="O14" s="484"/>
      <c r="P14" s="485"/>
      <c r="Q14" s="476">
        <f t="shared" si="0"/>
        <v>488.07319999999999</v>
      </c>
    </row>
    <row r="15" spans="1:17" s="486" customFormat="1">
      <c r="A15" s="1039" t="s">
        <v>555</v>
      </c>
      <c r="B15" s="987">
        <f ca="1">SUM(B4:B14)</f>
        <v>26062.161041821091</v>
      </c>
      <c r="C15" s="987">
        <f t="shared" ref="C15:Q15" ca="1" si="1">SUM(C4:C14)</f>
        <v>12.175675675675675</v>
      </c>
      <c r="D15" s="987">
        <f t="shared" ca="1" si="1"/>
        <v>22179.916351833086</v>
      </c>
      <c r="E15" s="987">
        <f t="shared" si="1"/>
        <v>7473.5507558947866</v>
      </c>
      <c r="F15" s="987">
        <f t="shared" ca="1" si="1"/>
        <v>48131.686679654806</v>
      </c>
      <c r="G15" s="987">
        <f t="shared" si="1"/>
        <v>46102.30479138525</v>
      </c>
      <c r="H15" s="987">
        <f t="shared" si="1"/>
        <v>11486.345544250395</v>
      </c>
      <c r="I15" s="987">
        <f t="shared" si="1"/>
        <v>0</v>
      </c>
      <c r="J15" s="987">
        <f t="shared" si="1"/>
        <v>22.812323704524641</v>
      </c>
      <c r="K15" s="987">
        <f t="shared" si="1"/>
        <v>0</v>
      </c>
      <c r="L15" s="987">
        <f t="shared" ca="1" si="1"/>
        <v>0</v>
      </c>
      <c r="M15" s="987">
        <f t="shared" si="1"/>
        <v>3031.9311806333408</v>
      </c>
      <c r="N15" s="987">
        <f t="shared" ca="1" si="1"/>
        <v>7087.4276530617772</v>
      </c>
      <c r="O15" s="987">
        <f t="shared" si="1"/>
        <v>156.33333333333334</v>
      </c>
      <c r="P15" s="987">
        <f t="shared" si="1"/>
        <v>1029.5999999999999</v>
      </c>
      <c r="Q15" s="987">
        <f t="shared" ca="1" si="1"/>
        <v>172776.24533124806</v>
      </c>
    </row>
    <row r="17" spans="1:17">
      <c r="A17" s="487" t="s">
        <v>556</v>
      </c>
      <c r="B17" s="786">
        <f ca="1">huishoudens!B10</f>
        <v>0.19046358833997093</v>
      </c>
      <c r="C17" s="786">
        <f ca="1">huishoudens!C10</f>
        <v>0.22444444444444442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3343.8573992053484</v>
      </c>
      <c r="C22" s="477">
        <f t="shared" ref="C22:C32" ca="1" si="3">C4*$C$17</f>
        <v>0</v>
      </c>
      <c r="D22" s="477">
        <f t="shared" ref="D22:D32" si="4">D4*$D$17</f>
        <v>3612.3006615850004</v>
      </c>
      <c r="E22" s="477">
        <f t="shared" ref="E22:E32" si="5">E4*$E$17</f>
        <v>1590.5187708845419</v>
      </c>
      <c r="F22" s="477">
        <f t="shared" ref="F22:F32" si="6">F4*$F$17</f>
        <v>12222.103473343626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20768.780305018518</v>
      </c>
    </row>
    <row r="23" spans="1:17">
      <c r="A23" s="476" t="s">
        <v>156</v>
      </c>
      <c r="B23" s="477">
        <f t="shared" ca="1" si="2"/>
        <v>1187.2515495593864</v>
      </c>
      <c r="C23" s="477">
        <f t="shared" ca="1" si="3"/>
        <v>2.7327627627627624</v>
      </c>
      <c r="D23" s="477">
        <f t="shared" ca="1" si="4"/>
        <v>711.6692684258594</v>
      </c>
      <c r="E23" s="477">
        <f t="shared" si="5"/>
        <v>30.008661509706346</v>
      </c>
      <c r="F23" s="477">
        <f t="shared" ca="1" si="6"/>
        <v>302.02308475115939</v>
      </c>
      <c r="G23" s="477">
        <f t="shared" si="7"/>
        <v>0</v>
      </c>
      <c r="H23" s="477">
        <f t="shared" si="8"/>
        <v>0</v>
      </c>
      <c r="I23" s="477">
        <f t="shared" si="9"/>
        <v>0</v>
      </c>
      <c r="J23" s="477">
        <f t="shared" si="10"/>
        <v>4.8656784160466945E-3</v>
      </c>
      <c r="K23" s="477">
        <f t="shared" si="11"/>
        <v>0</v>
      </c>
      <c r="L23" s="477">
        <f t="shared" ca="1" si="12"/>
        <v>0</v>
      </c>
      <c r="M23" s="477">
        <f t="shared" si="13"/>
        <v>0</v>
      </c>
      <c r="N23" s="477">
        <f t="shared" ca="1" si="14"/>
        <v>0</v>
      </c>
      <c r="O23" s="477">
        <f t="shared" si="15"/>
        <v>0</v>
      </c>
      <c r="P23" s="478">
        <f t="shared" si="16"/>
        <v>0</v>
      </c>
      <c r="Q23" s="476">
        <f t="shared" ref="Q23:Q32" ca="1" si="17">SUM(B23:P23)</f>
        <v>2233.6901926872906</v>
      </c>
    </row>
    <row r="24" spans="1:17">
      <c r="A24" s="476" t="s">
        <v>194</v>
      </c>
      <c r="B24" s="477">
        <f t="shared" ca="1" si="2"/>
        <v>104.00054731356938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104.00054731356938</v>
      </c>
    </row>
    <row r="25" spans="1:17">
      <c r="A25" s="476" t="s">
        <v>112</v>
      </c>
      <c r="B25" s="477">
        <f t="shared" ca="1" si="2"/>
        <v>29.869452241415939</v>
      </c>
      <c r="C25" s="477">
        <f t="shared" ca="1" si="3"/>
        <v>0</v>
      </c>
      <c r="D25" s="477">
        <f t="shared" si="4"/>
        <v>10.873934720000001</v>
      </c>
      <c r="E25" s="477">
        <f t="shared" si="5"/>
        <v>1.0463714249859453</v>
      </c>
      <c r="F25" s="477">
        <f t="shared" si="6"/>
        <v>174.4376349910207</v>
      </c>
      <c r="G25" s="477">
        <f t="shared" si="7"/>
        <v>0</v>
      </c>
      <c r="H25" s="477">
        <f t="shared" si="8"/>
        <v>0</v>
      </c>
      <c r="I25" s="477">
        <f t="shared" si="9"/>
        <v>0</v>
      </c>
      <c r="J25" s="477">
        <f t="shared" si="10"/>
        <v>8.0430834241790325</v>
      </c>
      <c r="K25" s="477">
        <f t="shared" si="11"/>
        <v>0</v>
      </c>
      <c r="L25" s="477">
        <f t="shared" si="12"/>
        <v>0</v>
      </c>
      <c r="M25" s="477">
        <f t="shared" si="13"/>
        <v>0</v>
      </c>
      <c r="N25" s="477">
        <f t="shared" si="14"/>
        <v>0</v>
      </c>
      <c r="O25" s="477">
        <f t="shared" si="15"/>
        <v>0</v>
      </c>
      <c r="P25" s="478">
        <f t="shared" si="16"/>
        <v>0</v>
      </c>
      <c r="Q25" s="476">
        <f t="shared" ca="1" si="17"/>
        <v>224.2704768016016</v>
      </c>
    </row>
    <row r="26" spans="1:17">
      <c r="A26" s="476" t="s">
        <v>635</v>
      </c>
      <c r="B26" s="477">
        <f t="shared" ca="1" si="2"/>
        <v>229.33137853435582</v>
      </c>
      <c r="C26" s="477">
        <f t="shared" ca="1" si="3"/>
        <v>0</v>
      </c>
      <c r="D26" s="477">
        <f t="shared" si="4"/>
        <v>94.639126252000011</v>
      </c>
      <c r="E26" s="477">
        <f t="shared" si="5"/>
        <v>44.343261854350544</v>
      </c>
      <c r="F26" s="477">
        <f t="shared" si="6"/>
        <v>152.5961503820279</v>
      </c>
      <c r="G26" s="477">
        <f t="shared" si="7"/>
        <v>0</v>
      </c>
      <c r="H26" s="477">
        <f t="shared" si="8"/>
        <v>0</v>
      </c>
      <c r="I26" s="477">
        <f t="shared" si="9"/>
        <v>0</v>
      </c>
      <c r="J26" s="477">
        <f t="shared" si="10"/>
        <v>2.7613488806644264E-2</v>
      </c>
      <c r="K26" s="477">
        <f t="shared" si="11"/>
        <v>0</v>
      </c>
      <c r="L26" s="477">
        <f t="shared" si="12"/>
        <v>0</v>
      </c>
      <c r="M26" s="477">
        <f t="shared" si="13"/>
        <v>0</v>
      </c>
      <c r="N26" s="477">
        <f t="shared" si="14"/>
        <v>0</v>
      </c>
      <c r="O26" s="477">
        <f t="shared" si="15"/>
        <v>0</v>
      </c>
      <c r="P26" s="478">
        <f t="shared" si="16"/>
        <v>0</v>
      </c>
      <c r="Q26" s="476">
        <f t="shared" ca="1" si="17"/>
        <v>520.9375305115409</v>
      </c>
    </row>
    <row r="27" spans="1:17" s="482" customFormat="1">
      <c r="A27" s="480" t="s">
        <v>561</v>
      </c>
      <c r="B27" s="780">
        <f t="shared" ca="1" si="2"/>
        <v>5.0723296018985478</v>
      </c>
      <c r="C27" s="481">
        <f t="shared" ca="1" si="3"/>
        <v>0</v>
      </c>
      <c r="D27" s="481">
        <f t="shared" si="4"/>
        <v>20.686766087423702</v>
      </c>
      <c r="E27" s="481">
        <f t="shared" si="5"/>
        <v>30.578955914531711</v>
      </c>
      <c r="F27" s="481">
        <f t="shared" si="6"/>
        <v>0</v>
      </c>
      <c r="G27" s="481">
        <f t="shared" si="7"/>
        <v>12235.521181761977</v>
      </c>
      <c r="H27" s="481">
        <f t="shared" si="8"/>
        <v>2860.1000405183481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15151.959273884178</v>
      </c>
    </row>
    <row r="28" spans="1:17">
      <c r="A28" s="476" t="s">
        <v>551</v>
      </c>
      <c r="B28" s="477">
        <f t="shared" ca="1" si="2"/>
        <v>0</v>
      </c>
      <c r="C28" s="477">
        <f t="shared" ca="1" si="3"/>
        <v>0</v>
      </c>
      <c r="D28" s="477">
        <f t="shared" si="4"/>
        <v>0</v>
      </c>
      <c r="E28" s="477">
        <f t="shared" si="5"/>
        <v>0</v>
      </c>
      <c r="F28" s="477">
        <f t="shared" si="6"/>
        <v>0</v>
      </c>
      <c r="G28" s="477">
        <f t="shared" si="7"/>
        <v>73.794197537885793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73.794197537885793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64.510055463465818</v>
      </c>
      <c r="C32" s="477">
        <f t="shared" ca="1" si="3"/>
        <v>0</v>
      </c>
      <c r="D32" s="477">
        <f t="shared" si="4"/>
        <v>30.173345999999999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94.683401463465813</v>
      </c>
    </row>
    <row r="33" spans="1:17" s="486" customFormat="1">
      <c r="A33" s="1039" t="s">
        <v>555</v>
      </c>
      <c r="B33" s="987">
        <f ca="1">SUM(B22:B32)</f>
        <v>4963.8927119194414</v>
      </c>
      <c r="C33" s="987">
        <f t="shared" ref="C33:Q33" ca="1" si="18">SUM(C22:C32)</f>
        <v>2.7327627627627624</v>
      </c>
      <c r="D33" s="987">
        <f t="shared" ca="1" si="18"/>
        <v>4480.3431030702832</v>
      </c>
      <c r="E33" s="987">
        <f t="shared" si="18"/>
        <v>1696.4960215881163</v>
      </c>
      <c r="F33" s="987">
        <f t="shared" ca="1" si="18"/>
        <v>12851.160343467833</v>
      </c>
      <c r="G33" s="987">
        <f t="shared" si="18"/>
        <v>12309.315379299862</v>
      </c>
      <c r="H33" s="987">
        <f t="shared" si="18"/>
        <v>2860.1000405183481</v>
      </c>
      <c r="I33" s="987">
        <f t="shared" si="18"/>
        <v>0</v>
      </c>
      <c r="J33" s="987">
        <f t="shared" si="18"/>
        <v>8.0755625914017237</v>
      </c>
      <c r="K33" s="987">
        <f t="shared" si="18"/>
        <v>0</v>
      </c>
      <c r="L33" s="987">
        <f t="shared" ca="1" si="18"/>
        <v>0</v>
      </c>
      <c r="M33" s="987">
        <f t="shared" si="18"/>
        <v>0</v>
      </c>
      <c r="N33" s="987">
        <f t="shared" ca="1" si="18"/>
        <v>0</v>
      </c>
      <c r="O33" s="987">
        <f t="shared" si="18"/>
        <v>0</v>
      </c>
      <c r="P33" s="987">
        <f t="shared" si="18"/>
        <v>0</v>
      </c>
      <c r="Q33" s="987">
        <f t="shared" ca="1" si="18"/>
        <v>39172.115925218044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3601.2405253429779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8.5</v>
      </c>
      <c r="D8" s="1056">
        <f>'SEAP template'!D76</f>
        <v>9.4444444444444429</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1.9077777777777776</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3601.2405253429779</v>
      </c>
      <c r="C10" s="1060">
        <f>SUM(C4:C9)</f>
        <v>8.5</v>
      </c>
      <c r="D10" s="1060">
        <f t="shared" ref="D10:H10" si="0">SUM(D8:D9)</f>
        <v>9.4444444444444429</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1.9077777777777776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0.19046358833997093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12.175675675675675</v>
      </c>
      <c r="D17" s="1057">
        <f>'SEAP template'!D87</f>
        <v>13.528528528528525</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2.7327627627627624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12.175675675675675</v>
      </c>
      <c r="D20" s="1060">
        <f t="shared" ref="D20:H20" si="2">SUM(D17:D19)</f>
        <v>13.528528528528525</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2.7327627627627624</v>
      </c>
    </row>
    <row r="22" spans="1:16">
      <c r="A22" s="487" t="s">
        <v>862</v>
      </c>
      <c r="B22" s="786" t="s">
        <v>856</v>
      </c>
      <c r="C22" s="786">
        <f ca="1">'EF ele_warmte'!B22</f>
        <v>0.22444444444444442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0.19046358833997093</v>
      </c>
      <c r="C17" s="524">
        <f ca="1">'EF ele_warmte'!B22</f>
        <v>0.22444444444444442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2019-08-12T08:32:38Z</dcterms:modified>
</cp:coreProperties>
</file>