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G19"/>
  <c r="F19"/>
  <c r="E19"/>
  <c r="F89" i="14" s="1"/>
  <c r="F19" i="61" s="1"/>
  <c r="D19" i="18"/>
  <c r="D20" s="1"/>
  <c r="C19"/>
  <c r="D89" i="14" s="1"/>
  <c r="D19" i="61" s="1"/>
  <c r="B19" i="18"/>
  <c r="N18"/>
  <c r="L88" i="14" s="1"/>
  <c r="M18" i="18"/>
  <c r="L18"/>
  <c r="K18"/>
  <c r="J18"/>
  <c r="I18"/>
  <c r="H18"/>
  <c r="M88" i="14" s="1"/>
  <c r="M18" i="61" s="1"/>
  <c r="G18" i="18"/>
  <c r="H88" i="14" s="1"/>
  <c r="H18" i="61" s="1"/>
  <c r="F18" i="18"/>
  <c r="G88" i="14" s="1"/>
  <c r="G18" i="61" s="1"/>
  <c r="E18" i="18"/>
  <c r="D18"/>
  <c r="C18"/>
  <c r="D88" i="14" s="1"/>
  <c r="D18" i="61" s="1"/>
  <c r="B18" i="18"/>
  <c r="L9"/>
  <c r="L10" s="1"/>
  <c r="K9"/>
  <c r="K10" s="1"/>
  <c r="I9"/>
  <c r="G9"/>
  <c r="F9"/>
  <c r="F10" s="1"/>
  <c r="D9"/>
  <c r="C9"/>
  <c r="B9"/>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D6" i="17" s="1"/>
  <c r="O61" i="18"/>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G12" i="18"/>
  <c r="F12"/>
  <c r="E12"/>
  <c r="D12"/>
  <c r="C12"/>
  <c r="G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M4"/>
  <c r="L4"/>
  <c r="K4"/>
  <c r="I4"/>
  <c r="H4"/>
  <c r="G4"/>
  <c r="P11"/>
  <c r="O11"/>
  <c r="N11"/>
  <c r="M11"/>
  <c r="L11"/>
  <c r="K11"/>
  <c r="J11"/>
  <c r="I11"/>
  <c r="H11"/>
  <c r="G11"/>
  <c r="F11"/>
  <c r="E11"/>
  <c r="D11"/>
  <c r="C11"/>
  <c r="B11"/>
  <c r="Q11" s="1"/>
  <c r="O32"/>
  <c r="O30"/>
  <c r="M89" i="14"/>
  <c r="M19" i="61" s="1"/>
  <c r="L89" i="14"/>
  <c r="L19" i="61" s="1"/>
  <c r="K89" i="14"/>
  <c r="K19" i="61" s="1"/>
  <c r="K20" s="1"/>
  <c r="J89" i="14"/>
  <c r="J19" i="61" s="1"/>
  <c r="H89" i="14"/>
  <c r="H19" i="61" s="1"/>
  <c r="K88" i="14"/>
  <c r="K18"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O76" i="14"/>
  <c r="O8" i="61" s="1"/>
  <c r="N76" i="14"/>
  <c r="N8" i="61" s="1"/>
  <c r="L76" i="14"/>
  <c r="K76"/>
  <c r="H76"/>
  <c r="H8" i="61" s="1"/>
  <c r="G76" i="14"/>
  <c r="G8" i="61"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Q14" i="48" l="1"/>
  <c r="K78" i="14"/>
  <c r="K8" i="61"/>
  <c r="K10" s="1"/>
  <c r="L90" i="14"/>
  <c r="L18" i="61"/>
  <c r="L20" i="18"/>
  <c r="O77" i="14"/>
  <c r="O9" i="61" s="1"/>
  <c r="N20"/>
  <c r="N77" i="14"/>
  <c r="E89"/>
  <c r="E19" i="61" s="1"/>
  <c r="P27" i="48"/>
  <c r="B10" i="18"/>
  <c r="M77" i="14"/>
  <c r="M9" i="61" s="1"/>
  <c r="H9" i="18"/>
  <c r="O9" s="1"/>
  <c r="L20" i="61"/>
  <c r="O31" i="48"/>
  <c r="P31"/>
  <c r="L78" i="14"/>
  <c r="L8" i="61"/>
  <c r="L10" s="1"/>
  <c r="E18"/>
  <c r="E20" s="1"/>
  <c r="O10"/>
  <c r="C98" i="18"/>
  <c r="K90" i="14"/>
  <c r="J22"/>
  <c r="P22"/>
  <c r="E10" i="61"/>
  <c r="B17" i="18"/>
  <c r="B20" s="1"/>
  <c r="F13" i="15"/>
  <c r="O22" i="14"/>
  <c r="G77"/>
  <c r="G9" i="61" s="1"/>
  <c r="G10" s="1"/>
  <c r="H20"/>
  <c r="P25" i="48"/>
  <c r="I77" i="14"/>
  <c r="I9" i="61" s="1"/>
  <c r="L13" i="15"/>
  <c r="B13"/>
  <c r="H90" i="14"/>
  <c r="N13" i="15"/>
  <c r="F77" i="14"/>
  <c r="F9" i="61" s="1"/>
  <c r="I101" i="18"/>
  <c r="H8" s="1"/>
  <c r="E101"/>
  <c r="E8" s="1"/>
  <c r="G101"/>
  <c r="I8" s="1"/>
  <c r="F101"/>
  <c r="H101"/>
  <c r="D101"/>
  <c r="C101"/>
  <c r="B101"/>
  <c r="C8" s="1"/>
  <c r="I102"/>
  <c r="H17" s="1"/>
  <c r="E102"/>
  <c r="E17" s="1"/>
  <c r="C102"/>
  <c r="B102"/>
  <c r="C17" s="1"/>
  <c r="H102"/>
  <c r="D102"/>
  <c r="G102"/>
  <c r="F102"/>
  <c r="N90" i="14"/>
  <c r="O18" i="18"/>
  <c r="F20"/>
  <c r="D77" i="14"/>
  <c r="D9" i="61" s="1"/>
  <c r="H77" i="14"/>
  <c r="G90"/>
  <c r="O88"/>
  <c r="G20" i="18"/>
  <c r="K20"/>
  <c r="O19"/>
  <c r="O78" i="14"/>
  <c r="D10" i="18"/>
  <c r="O29" i="48"/>
  <c r="O27"/>
  <c r="P29"/>
  <c r="P32"/>
  <c r="O24"/>
  <c r="P24"/>
  <c r="P30"/>
  <c r="R9" i="14"/>
  <c r="D22"/>
  <c r="E55"/>
  <c r="R25"/>
  <c r="E78"/>
  <c r="N78" l="1"/>
  <c r="N9" i="61"/>
  <c r="N10" s="1"/>
  <c r="H78" i="14"/>
  <c r="H9" i="61"/>
  <c r="H10" s="1"/>
  <c r="G78" i="14"/>
  <c r="Q89"/>
  <c r="P19" i="61" s="1"/>
  <c r="B89" i="14"/>
  <c r="B19" i="61" s="1"/>
  <c r="O90" i="14"/>
  <c r="O18" i="61"/>
  <c r="O20" s="1"/>
  <c r="D10"/>
  <c r="E90" i="14"/>
  <c r="C89"/>
  <c r="C19" i="61" s="1"/>
  <c r="B88" i="14"/>
  <c r="B18" i="61" s="1"/>
  <c r="B77" i="14"/>
  <c r="B9" i="61" s="1"/>
  <c r="Q77" i="14"/>
  <c r="P9" i="61" s="1"/>
  <c r="J17" i="18"/>
  <c r="H20"/>
  <c r="M87" i="14"/>
  <c r="J8" i="18"/>
  <c r="O8" s="1"/>
  <c r="O10" s="1"/>
  <c r="M76" i="14"/>
  <c r="H10" i="18"/>
  <c r="E20"/>
  <c r="F87" i="14"/>
  <c r="C77"/>
  <c r="C9" i="61" s="1"/>
  <c r="C20" i="18"/>
  <c r="D87" i="14"/>
  <c r="D17" i="61" s="1"/>
  <c r="D20" s="1"/>
  <c r="D76" i="14"/>
  <c r="D8" i="61" s="1"/>
  <c r="C10" i="18"/>
  <c r="C88" i="14"/>
  <c r="C18" i="61" s="1"/>
  <c r="F76" i="14"/>
  <c r="E10" i="18"/>
  <c r="I17"/>
  <c r="I10"/>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78" i="14" l="1"/>
  <c r="B9" i="6" s="1"/>
  <c r="P8" i="61"/>
  <c r="P10" s="1"/>
  <c r="J78" i="14"/>
  <c r="J8" i="61"/>
  <c r="J10" s="1"/>
  <c r="Q90" i="14"/>
  <c r="B17" i="6" s="1"/>
  <c r="P17" i="61"/>
  <c r="P20" s="1"/>
  <c r="J90" i="14"/>
  <c r="J17" i="61"/>
  <c r="J20" s="1"/>
  <c r="I90" i="14"/>
  <c r="B87"/>
  <c r="C87"/>
  <c r="C76"/>
  <c r="B76"/>
  <c r="B26" i="17"/>
  <c r="C90" i="14" l="1"/>
  <c r="C17" i="61"/>
  <c r="C20" s="1"/>
  <c r="C78" i="14"/>
  <c r="C8" i="61"/>
  <c r="C10" s="1"/>
  <c r="B78" i="14"/>
  <c r="B8" i="61"/>
  <c r="B10" s="1"/>
  <c r="B90" i="14"/>
  <c r="B17" i="61"/>
  <c r="B20" s="1"/>
  <c r="H14" i="15"/>
  <c r="H16" s="1"/>
  <c r="G14"/>
  <c r="G16" s="1"/>
  <c r="H5" i="48" l="1"/>
  <c r="I10" i="14"/>
  <c r="I16" s="1"/>
  <c r="H10"/>
  <c r="H16" s="1"/>
  <c r="G5" i="48"/>
  <c r="B4" i="6"/>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F30"/>
  <c r="F31"/>
  <c r="F32"/>
  <c r="F24"/>
  <c r="F29"/>
  <c r="F27"/>
  <c r="F28"/>
  <c r="B10"/>
  <c r="C19" i="14"/>
  <c r="E31" i="48"/>
  <c r="E29"/>
  <c r="E30"/>
  <c r="E28"/>
  <c r="E32"/>
  <c r="E24"/>
  <c r="M29"/>
  <c r="M32"/>
  <c r="M30"/>
  <c r="M22"/>
  <c r="M26"/>
  <c r="M25"/>
  <c r="M24"/>
  <c r="M23"/>
  <c r="L10" i="14"/>
  <c r="L16" s="1"/>
  <c r="L27" s="1"/>
  <c r="K5" i="48"/>
  <c r="D30"/>
  <c r="D28"/>
  <c r="D24"/>
  <c r="D31"/>
  <c r="D32"/>
  <c r="D29"/>
  <c r="L29"/>
  <c r="L32"/>
  <c r="L31"/>
  <c r="L22"/>
  <c r="L27"/>
  <c r="L30"/>
  <c r="L28"/>
  <c r="L24"/>
  <c r="P5"/>
  <c r="P23" s="1"/>
  <c r="Q10" i="14"/>
  <c r="I29" i="48"/>
  <c r="I31"/>
  <c r="I30"/>
  <c r="I22"/>
  <c r="I25"/>
  <c r="I27"/>
  <c r="I24"/>
  <c r="I28"/>
  <c r="I32"/>
  <c r="I26"/>
  <c r="D4"/>
  <c r="D22" s="1"/>
  <c r="E11" i="14"/>
  <c r="H29" i="48"/>
  <c r="H25"/>
  <c r="H32"/>
  <c r="H28"/>
  <c r="H24"/>
  <c r="H22"/>
  <c r="H30"/>
  <c r="H26"/>
  <c r="H23"/>
  <c r="C4"/>
  <c r="D11" i="14"/>
  <c r="G23" i="48"/>
  <c r="G30"/>
  <c r="G32"/>
  <c r="G29"/>
  <c r="G26"/>
  <c r="G24"/>
  <c r="G22"/>
  <c r="G25"/>
  <c r="B4"/>
  <c r="C11" i="14"/>
  <c r="N31" i="48"/>
  <c r="N30"/>
  <c r="N32"/>
  <c r="N24"/>
  <c r="N29"/>
  <c r="N27"/>
  <c r="N28"/>
  <c r="K32"/>
  <c r="K27"/>
  <c r="K24"/>
  <c r="K25"/>
  <c r="K30"/>
  <c r="K28"/>
  <c r="K22"/>
  <c r="K26"/>
  <c r="K31"/>
  <c r="K29"/>
  <c r="C24" i="14"/>
  <c r="C26" s="1"/>
  <c r="B7" i="48"/>
  <c r="J31"/>
  <c r="J30"/>
  <c r="J32"/>
  <c r="J24"/>
  <c r="J27"/>
  <c r="J28"/>
  <c r="J29"/>
  <c r="Q11" i="14"/>
  <c r="P4" i="48"/>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Q13" i="14"/>
  <c r="P8" i="48"/>
  <c r="P26" s="1"/>
  <c r="E20" i="14"/>
  <c r="E22" s="1"/>
  <c r="D9" i="48"/>
  <c r="D27" s="1"/>
  <c r="P10" i="14"/>
  <c r="O5" i="48"/>
  <c r="O23" s="1"/>
  <c r="B9"/>
  <c r="C20" i="14"/>
  <c r="J7" i="48"/>
  <c r="J25" s="1"/>
  <c r="K24" i="14"/>
  <c r="K26" s="1"/>
  <c r="L46"/>
  <c r="L61" s="1"/>
  <c r="L63" s="1"/>
  <c r="P15" i="48"/>
  <c r="P22"/>
  <c r="P33" s="1"/>
  <c r="H18" i="14"/>
  <c r="G13" i="48"/>
  <c r="G31" s="1"/>
  <c r="K23"/>
  <c r="K15"/>
  <c r="C22" i="14"/>
  <c r="E9" i="48"/>
  <c r="E27" s="1"/>
  <c r="F20" i="14"/>
  <c r="F22" s="1"/>
  <c r="G11"/>
  <c r="F4" i="48"/>
  <c r="F22" s="1"/>
  <c r="I5"/>
  <c r="J10" i="14"/>
  <c r="J16" s="1"/>
  <c r="J27" s="1"/>
  <c r="J63" s="1"/>
  <c r="K33" i="48"/>
  <c r="Q16" i="14"/>
  <c r="Q27"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E12" i="17"/>
  <c r="F54" i="14" s="1"/>
  <c r="F56" s="1"/>
  <c r="F11" l="1"/>
  <c r="R11" s="1"/>
  <c r="E4" i="48"/>
  <c r="P13" i="14"/>
  <c r="O8" i="48"/>
  <c r="J4"/>
  <c r="K11" i="14"/>
  <c r="O11"/>
  <c r="N4" i="48"/>
  <c r="N22" s="1"/>
  <c r="I23"/>
  <c r="I33" s="1"/>
  <c r="I15"/>
  <c r="N19" i="14"/>
  <c r="N22" s="1"/>
  <c r="N27" s="1"/>
  <c r="M10" i="48"/>
  <c r="M28" s="1"/>
  <c r="M14" i="22"/>
  <c r="H14"/>
  <c r="H9" i="48" s="1"/>
  <c r="P16" i="14"/>
  <c r="P27" s="1"/>
  <c r="H19"/>
  <c r="G10" i="48"/>
  <c r="E7"/>
  <c r="E25" s="1"/>
  <c r="F24" i="14"/>
  <c r="F26" s="1"/>
  <c r="M9" i="48"/>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J5" i="48"/>
  <c r="J23" s="1"/>
  <c r="K10" i="14"/>
  <c r="E22" i="48"/>
  <c r="Q4"/>
  <c r="Q7"/>
  <c r="I20" i="14"/>
  <c r="I22" s="1"/>
  <c r="I27" s="1"/>
  <c r="F10"/>
  <c r="E5" i="48"/>
  <c r="E23" s="1"/>
  <c r="H22" i="14"/>
  <c r="H27" s="1"/>
  <c r="R19"/>
  <c r="G28" i="48"/>
  <c r="Q10"/>
  <c r="O26"/>
  <c r="O33" s="1"/>
  <c r="O15"/>
  <c r="J22"/>
  <c r="G9"/>
  <c r="H20" i="14"/>
  <c r="R20" s="1"/>
  <c r="R22" s="1"/>
  <c r="N52"/>
  <c r="N61" s="1"/>
  <c r="N63" s="1"/>
  <c r="J20" i="15"/>
  <c r="K40" i="14" s="1"/>
  <c r="M15" i="48"/>
  <c r="M27"/>
  <c r="M33" s="1"/>
  <c r="Q9"/>
  <c r="H15"/>
  <c r="H27"/>
  <c r="H33" s="1"/>
  <c r="R24" i="14"/>
  <c r="R26" s="1"/>
  <c r="N18" i="16"/>
  <c r="E20" i="15"/>
  <c r="F40" i="14" s="1"/>
  <c r="F18" i="16"/>
  <c r="J18"/>
  <c r="E18"/>
  <c r="G18" i="22"/>
  <c r="H50" i="14" s="1"/>
  <c r="H18" i="22"/>
  <c r="I50" i="14" s="1"/>
  <c r="I52" s="1"/>
  <c r="I61" s="1"/>
  <c r="I63" s="1"/>
  <c r="F13" l="1"/>
  <c r="E8" i="48"/>
  <c r="E26" s="1"/>
  <c r="E33" s="1"/>
  <c r="J8"/>
  <c r="K13" i="14"/>
  <c r="G27" i="48"/>
  <c r="G33" s="1"/>
  <c r="G15"/>
  <c r="F16" i="14"/>
  <c r="F27" s="1"/>
  <c r="K16"/>
  <c r="K27" s="1"/>
  <c r="N8" i="48"/>
  <c r="N26" s="1"/>
  <c r="O13" i="14"/>
  <c r="F8" i="48"/>
  <c r="G13" i="14"/>
  <c r="R13" s="1"/>
  <c r="E22" i="16"/>
  <c r="F43" i="14" s="1"/>
  <c r="F46" s="1"/>
  <c r="F61" s="1"/>
  <c r="F22" i="16"/>
  <c r="G43" i="14" s="1"/>
  <c r="N22" i="16"/>
  <c r="O43" i="14" s="1"/>
  <c r="J22" i="16"/>
  <c r="K43" i="14" s="1"/>
  <c r="K46" s="1"/>
  <c r="K61" s="1"/>
  <c r="F63" l="1"/>
  <c r="J26" i="48"/>
  <c r="J33" s="1"/>
  <c r="J15"/>
  <c r="K63" i="14"/>
  <c r="E15" i="48"/>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<sst xmlns="http://schemas.openxmlformats.org/spreadsheetml/2006/main" count="2383" uniqueCount="881">
  <si>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</si>
  <si>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</si>
  <si>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</si>
  <si>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</si>
  <si>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</si>
  <si>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</si>
  <si>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</si>
  <si>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</si>
  <si>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</si>
  <si>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</si>
  <si>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</si>
  <si>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</si>
  <si>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</si>
  <si>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</si>
  <si>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</si>
  <si>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</si>
  <si>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</si>
  <si>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</si>
  <si>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</si>
  <si>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</si>
  <si>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</si>
  <si>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</si>
  <si>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</si>
  <si>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</si>
  <si>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</si>
  <si>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</si>
  <si>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</si>
  <si>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</si>
  <si>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</si>
  <si>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</si>
  <si>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</si>
  <si>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</si>
  <si>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</si>
  <si>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</si>
  <si>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</si>
  <si>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</si>
  <si>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</si>
  <si>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</si>
  <si>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</si>
  <si>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</si>
  <si>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</si>
  <si>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</si>
  <si>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</si>
  <si>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</si>
  <si>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</si>
  <si>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</si>
  <si>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</si>
  <si>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</si>
  <si>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</si>
  <si>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</si>
  <si>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</si>
  <si>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</si>
  <si>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</si>
  <si>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</si>
  <si>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</si>
  <si>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</si>
  <si>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</si>
  <si>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</si>
  <si>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</si>
  <si>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</si>
  <si>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</si>
  <si>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</si>
  <si>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</si>
  <si>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</si>
  <si>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</si>
  <si>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</si>
  <si>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</si>
  <si>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</si>
  <si>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</si>
  <si>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</si>
  <si>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</si>
  <si>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</si>
  <si>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</si>
  <si>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</si>
  <si>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</si>
  <si>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</si>
  <si>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</si>
  <si>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</si>
  <si>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</si>
  <si>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</si>
  <si>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</si>
  <si>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</si>
  <si>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</si>
  <si>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</si>
  <si>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</si>
  <si>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</si>
  <si>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</si>
  <si>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</si>
  <si>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</si>
  <si>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</si>
  <si>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</si>
  <si>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</si>
  <si>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</si>
  <si>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</si>
  <si>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</si>
  <si>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</si>
  <si>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</si>
  <si>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</si>
  <si>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</si>
  <si>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</si>
  <si>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</si>
  <si>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</si>
  <si>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</si>
  <si>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</si>
  <si>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</si>
  <si>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</si>
  <si>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</si>
  <si>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</si>
  <si>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</si>
  <si>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</si>
  <si>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</si>
  <si>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</si>
  <si>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</si>
  <si>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</si>
  <si>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</si>
  <si>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</si>
  <si>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</si>
  <si>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</si>
  <si>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</si>
  <si>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</si>
  <si>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</si>
  <si>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</si>
  <si>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</si>
  <si>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</si>
  <si>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</si>
  <si>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</si>
  <si>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</si>
  <si>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</si>
  <si>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</si>
  <si>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</si>
  <si>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</si>
  <si>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</si>
  <si>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</si>
  <si>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</si>
  <si>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</si>
  <si>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</si>
  <si>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</si>
  <si>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</si>
  <si>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</si>
  <si>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</si>
  <si>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</si>
  <si>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</si>
  <si>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</si>
  <si>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</si>
  <si>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</si>
  <si>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</si>
  <si>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</si>
  <si>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</si>
  <si>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</si>
  <si>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</si>
  <si>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</si>
  <si>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</si>
  <si>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</si>
  <si>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</si>
  <si>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</si>
  <si>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</si>
  <si>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</si>
  <si>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</si>
  <si>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</si>
  <si>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</si>
  <si>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</si>
  <si>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</si>
  <si>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</si>
  <si>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</si>
  <si>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</si>
  <si>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</si>
  <si>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</si>
  <si>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</si>
  <si>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</si>
  <si>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</si>
  <si>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</si>
  <si>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</si>
  <si>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</si>
  <si>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</si>
  <si>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</si>
  <si>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</si>
  <si>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</si>
  <si>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</si>
  <si>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</si>
  <si>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</si>
  <si>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</si>
  <si>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</si>
  <si>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</si>
  <si>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</si>
  <si>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</si>
  <si>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</si>
  <si>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</si>
  <si>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</si>
  <si>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</si>
  <si>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</si>
  <si>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</si>
  <si>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</si>
  <si>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</si>
  <si>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</si>
  <si>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</si>
  <si>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</si>
  <si>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</si>
  <si>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</si>
  <si>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</si>
  <si>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</si>
  <si>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</si>
  <si>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</si>
  <si>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</si>
  <si>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</si>
  <si>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</si>
  <si>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</si>
  <si>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</si>
  <si>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</si>
  <si>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</si>
  <si>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</si>
  <si>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</si>
  <si>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</si>
  <si>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</si>
  <si>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</si>
  <si>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</si>
  <si>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</si>
  <si>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</si>
  <si>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</si>
  <si>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</si>
  <si>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</si>
  <si>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</si>
  <si>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</si>
  <si>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</si>
  <si>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</si>
  <si>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</si>
  <si>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</si>
  <si>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</si>
  <si>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</si>
  <si>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</si>
  <si>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</si>
  <si>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</si>
  <si>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</si>
  <si>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</si>
  <si>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</si>
  <si>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</si>
  <si>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</si>
  <si>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</si>
  <si>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</si>
  <si>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</si>
  <si>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</si>
  <si>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</si>
  <si>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</si>
  <si>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</si>
  <si>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</si>
  <si>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</si>
  <si>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</si>
  <si>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</si>
  <si>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</si>
  <si>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</si>
  <si>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</si>
  <si>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</si>
  <si>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</si>
  <si>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</si>
  <si>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</si>
  <si>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</si>
  <si>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</si>
  <si>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</si>
  <si>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</si>
  <si>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</si>
  <si>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</si>
  <si>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</si>
  <si>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</si>
  <si>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</si>
  <si>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</si>
  <si>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</si>
  <si>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</si>
  <si>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</si>
  <si>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</si>
  <si>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</si>
  <si>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</si>
  <si>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</si>
  <si>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</si>
  <si>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</si>
  <si>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</si>
  <si>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</si>
  <si>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</si>
  <si>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</si>
  <si>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</si>
  <si>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</si>
  <si>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</si>
  <si>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</si>
  <si>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</si>
  <si>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</si>
  <si>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</si>
  <si>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</si>
  <si>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</si>
  <si>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</si>
  <si>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</si>
  <si>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</si>
  <si>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</si>
  <si>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</si>
  <si>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</si>
  <si>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</si>
  <si>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</si>
  <si>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</si>
  <si>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</si>
  <si>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</si>
  <si>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</si>
  <si>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</si>
  <si>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</si>
  <si>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</si>
  <si>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</si>
  <si>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</si>
  <si>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</si>
  <si>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</si>
  <si>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</si>
  <si>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</si>
  <si>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</si>
  <si>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</si>
  <si>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</si>
  <si>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</si>
  <si>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</si>
  <si>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</si>
  <si>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</si>
  <si>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</si>
  <si>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</si>
  <si>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</si>
  <si>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</si>
  <si>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</si>
  <si>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</si>
  <si>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</si>
  <si>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</si>
  <si>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</si>
  <si>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</si>
  <si>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</si>
  <si>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</si>
  <si>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</si>
  <si>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</si>
  <si>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</si>
  <si>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</si>
  <si>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</si>
  <si>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</si>
  <si>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</si>
  <si>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</si>
  <si>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</si>
  <si>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</si>
  <si>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</si>
  <si>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</si>
  <si>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</si>
  <si>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</si>
  <si>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</si>
  <si>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</si>
  <si>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</si>
  <si>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</si>
  <si>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</si>
  <si>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</si>
  <si>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</si>
  <si>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</si>
  <si>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</si>
  <si>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</si>
  <si>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</si>
  <si>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</si>
  <si>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</si>
  <si>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</si>
  <si>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</si>
  <si>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</si>
  <si>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</si>
  <si>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</si>
  <si>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</si>
  <si>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</si>
  <si>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</si>
  <si>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</si>
  <si>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</si>
  <si>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</si>
  <si>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</si>
  <si>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</si>
  <si>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</si>
  <si>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</si>
  <si>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</si>
  <si>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</si>
  <si>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</si>
  <si>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</si>
  <si>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</si>
  <si>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</si>
  <si>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</si>
  <si>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</si>
  <si>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</si>
  <si>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</si>
  <si>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</si>
  <si>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</si>
  <si>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</si>
  <si>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</si>
  <si>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</si>
  <si>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</si>
  <si>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</si>
  <si>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</si>
  <si>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</si>
  <si>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</si>
  <si>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</si>
  <si>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</si>
  <si>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</si>
  <si>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</si>
  <si>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</si>
  <si>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</si>
  <si>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</si>
  <si>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</si>
  <si>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</si>
  <si>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</si>
  <si>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</si>
  <si>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</si>
  <si>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</si>
  <si>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</si>
  <si>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</si>
  <si>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</si>
  <si>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</si>
  <si>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</si>
  <si>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</si>
  <si>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</si>
  <si>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</si>
  <si>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</si>
  <si>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</si>
  <si>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</si>
  <si>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</si>
  <si>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</si>
  <si>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</si>
  <si>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</si>
  <si>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</si>
  <si>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</si>
  <si>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</si>
  <si>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</si>
  <si>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</si>
  <si>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</si>
  <si>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</si>
  <si>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</si>
  <si>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</si>
  <si>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</si>
  <si>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</si>
  <si>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</si>
  <si>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</si>
  <si>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</si>
  <si>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</si>
  <si>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</si>
  <si>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</si>
  <si>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</si>
  <si>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</si>
  <si>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</si>
  <si>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</si>
  <si>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</si>
  <si>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</si>
  <si>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</si>
  <si>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</si>
  <si>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</si>
  <si>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</si>
  <si>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</si>
  <si>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</si>
  <si>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</si>
  <si>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</si>
  <si>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</si>
  <si>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</si>
  <si>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</si>
  <si>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</si>
  <si>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</si>
  <si>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</si>
  <si>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</si>
  <si>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</si>
  <si>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</si>
  <si>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</si>
  <si>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</si>
  <si>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</si>
  <si>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</si>
  <si>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</si>
  <si>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</si>
  <si>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</si>
  <si>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</si>
  <si>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</si>
  <si>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</si>
  <si>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</si>
  <si>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</si>
  <si>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</si>
  <si>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</si>
  <si>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</si>
  <si>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</si>
  <si>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</si>
  <si>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</si>
  <si>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</si>
  <si>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</si>
  <si>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</si>
  <si>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</si>
  <si>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</si>
  <si>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</si>
  <si>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</si>
  <si>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</si>
  <si>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</si>
  <si>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</si>
  <si>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</si>
  <si>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</si>
  <si>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</si>
  <si>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</si>
  <si>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</si>
  <si>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</si>
  <si>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</si>
  <si>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</si>
  <si>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</si>
  <si>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</si>
  <si>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</si>
  <si>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</si>
  <si>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</si>
  <si>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</si>
  <si>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</si>
  <si>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</si>
  <si>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</si>
  <si>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</si>
  <si>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</si>
  <si>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</si>
  <si>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</si>
  <si>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</si>
  <si>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</si>
  <si>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</si>
  <si>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</si>
  <si>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</si>
  <si>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</si>
  <si>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</si>
  <si>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</si>
  <si>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</si>
  <si>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</si>
  <si>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</si>
  <si>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</si>
  <si>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</si>
  <si>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</si>
  <si>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</si>
  <si>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</si>
  <si>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</si>
  <si>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</si>
  <si>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</si>
  <si>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</si>
  <si>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</si>
  <si>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</si>
  <si>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</si>
  <si>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</si>
  <si>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</si>
  <si>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</si>
  <si>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</si>
  <si>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</si>
  <si>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</si>
  <si>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</si>
  <si>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</si>
  <si>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</si>
  <si>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</si>
  <si>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</si>
  <si>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</si>
  <si>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</si>
  <si>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</si>
  <si>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</si>
  <si>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</si>
  <si>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</si>
  <si>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</si>
  <si>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</si>
  <si>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</si>
  <si>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</si>
  <si>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</si>
  <si>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</si>
  <si>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</si>
  <si>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</si>
  <si>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</si>
  <si>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</si>
  <si>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</si>
  <si>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</si>
  <si>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</si>
  <si>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</si>
  <si>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</si>
  <si>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</si>
  <si>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</si>
  <si>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</si>
  <si>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</si>
  <si>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</si>
  <si>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</si>
  <si>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</si>
  <si>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</si>
  <si>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</si>
  <si>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</si>
  <si>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</si>
  <si>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</si>
  <si>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</si>
  <si>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</si>
  <si>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</si>
  <si>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</si>
  <si>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</si>
  <si>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</si>
  <si>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</si>
  <si>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</si>
  <si>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</si>
  <si>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</si>
  <si>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</si>
  <si>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</si>
  <si>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</si>
  <si>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</si>
  <si>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</si>
  <si>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</si>
  <si>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</si>
  <si>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</si>
  <si>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</si>
  <si>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</si>
  <si>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</si>
  <si>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</si>
  <si>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</si>
  <si>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</si>
  <si>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</si>
  <si>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</si>
  <si>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</si>
  <si>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</si>
  <si>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</si>
  <si>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</si>
  <si>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</si>
  <si>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</si>
  <si>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</si>
  <si>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</si>
  <si>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</si>
  <si>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</si>
  <si>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</si>
  <si>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</si>
  <si>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</si>
  <si>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</si>
  <si>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</si>
  <si>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</si>
  <si>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</si>
  <si>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</si>
  <si>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</si>
  <si>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</si>
  <si>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</si>
  <si>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</si>
  <si>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</si>
  <si>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</si>
  <si>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</si>
  <si>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</si>
  <si>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</si>
  <si>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</si>
  <si>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</si>
  <si>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</si>
  <si>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</si>
  <si>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</si>
  <si>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</si>
  <si>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</si>
  <si>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</si>
  <si>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</si>
  <si>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</si>
  <si>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</si>
  <si>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</si>
  <si>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</si>
  <si>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</si>
  <si>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</si>
  <si>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</si>
  <si>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</si>
  <si>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</si>
  <si>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</si>
  <si>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</si>
  <si>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</si>
  <si>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</si>
  <si>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</si>
  <si>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</si>
  <si>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</si>
  <si>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</si>
  <si>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</si>
  <si>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</si>
  <si>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</si>
  <si>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</si>
  <si>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</si>
  <si>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</si>
  <si>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</si>
  <si>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</si>
  <si>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</si>
  <si>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</si>
  <si>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</si>
  <si>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</si>
  <si>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</si>
  <si>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</si>
  <si>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</si>
  <si>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</si>
  <si>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</si>
  <si>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</si>
  <si>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</si>
  <si>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</si>
  <si>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</si>
  <si>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</si>
  <si>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</si>
  <si>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</si>
  <si>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</si>
  <si>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</si>
  <si>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</si>
  <si>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</si>
  <si>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</si>
  <si>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</si>
  <si>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</si>
  <si>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</si>
  <si>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</si>
  <si>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</si>
  <si>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</si>
  <si>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</si>
  <si>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</si>
  <si>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</si>
  <si>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</si>
  <si>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</si>
  <si>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</si>
  <si>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</si>
  <si>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</si>
  <si>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</si>
  <si>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</si>
  <si>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</si>
  <si>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</si>
  <si>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</si>
  <si>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</si>
  <si>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</si>
  <si>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</si>
  <si>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</si>
  <si>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</si>
  <si>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</si>
  <si>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</si>
  <si>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</si>
  <si>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</si>
  <si>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</si>
  <si>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</si>
  <si>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</si>
  <si>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</si>
  <si>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</si>
  <si>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</si>
  <si>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</si>
  <si>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</si>
  <si>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</si>
  <si>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</si>
  <si>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</si>
  <si>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</si>
  <si>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</si>
  <si>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</si>
  <si>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</si>
  <si>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</si>
  <si>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</si>
  <si>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</si>
  <si>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</si>
  <si>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</si>
  <si>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</si>
  <si>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</si>
  <si>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</si>
  <si>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</si>
  <si>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</si>
  <si>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</si>
  <si>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</si>
  <si>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</si>
  <si>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</si>
  <si>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</si>
  <si>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</si>
  <si>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</si>
  <si>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</si>
  <si>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</si>
  <si>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</si>
  <si>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</si>
  <si>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</si>
  <si>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</si>
  <si>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</si>
  <si>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</si>
  <si>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</si>
  <si>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</si>
  <si>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</si>
  <si>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</si>
  <si>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</si>
  <si>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</si>
  <si>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</si>
  <si>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</si>
  <si>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</si>
  <si>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</si>
  <si>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</si>
  <si>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</si>
  <si>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</si>
  <si>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</si>
  <si>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</si>
  <si>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</si>
  <si>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</si>
  <si>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</si>
  <si>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</si>
  <si>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</si>
  <si>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</si>
  <si>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</si>
  <si>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</si>
  <si>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</si>
  <si>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</si>
  <si>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</si>
  <si>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</si>
  <si>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</si>
  <si>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</si>
  <si>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</si>
  <si>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</si>
  <si>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</si>
  <si>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</si>
  <si>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</si>
  <si>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</si>
  <si>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</si>
  <si>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</si>
  <si>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</si>
  <si>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</si>
  <si>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</si>
  <si>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</si>
  <si>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</si>
  <si>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</si>
  <si>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</si>
  <si>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</si>
  <si>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</si>
  <si>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</si>
  <si>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</si>
  <si>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</si>
  <si>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</si>
  <si>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</si>
  <si>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</si>
  <si>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</si>
  <si>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</si>
  <si>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</si>
  <si>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</si>
  <si>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</si>
  <si>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</si>
  <si>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</si>
  <si>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</si>
  <si>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</si>
  <si>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</si>
  <si>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</si>
  <si>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</si>
  <si>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</si>
  <si>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</si>
  <si>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</si>
  <si>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</si>
  <si>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</si>
  <si>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</si>
  <si>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</si>
  <si>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</si>
  <si>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</si>
  <si>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</si>
  <si>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</si>
  <si>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</si>
  <si>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</si>
  <si>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</si>
  <si>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</si>
  <si>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</si>
  <si>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</si>
  <si>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</si>
  <si>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</si>
  <si>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</si>
  <si>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</si>
  <si>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</si>
  <si>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</si>
  <si>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</si>
  <si>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</si>
  <si>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</si>
  <si>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</si>
  <si>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</si>
  <si>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</si>
  <si>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</si>
  <si>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</si>
  <si>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</si>
  <si>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</si>
  <si>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</si>
  <si>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</si>
  <si>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</si>
  <si>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</si>
  <si>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</si>
  <si>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</si>
  <si>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</si>
  <si>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</si>
  <si>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</si>
  <si>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</si>
  <si>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</si>
  <si>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</si>
  <si>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</si>
  <si>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</si>
  <si>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</si>
  <si>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</si>
  <si>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</si>
  <si>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</si>
  <si>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</si>
  <si>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</si>
  <si>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</si>
  <si>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</si>
  <si>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</si>
  <si>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</si>
  <si>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</si>
  <si>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</si>
  <si>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</si>
  <si>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versie: 2016_04</t>
  </si>
  <si>
    <t>23101</t>
  </si>
  <si>
    <t>SINT-GENESIUS-RODE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</si>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</sst>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0" borderId="0" xfId="0" applyFont="1" applyFill="1" applyBorder="1" applyAlignment="1" applyProtection="1">
      <alignment horizontal="center" vertical="center" wrapText="1"/>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184464.7420217109</c:v>
                </c:pt>
                <c:pt idx="1">
                  <c:v>54028.982536214098</c:v>
                </c:pt>
                <c:pt idx="2">
                  <c:v>1170.348</c:v>
                </c:pt>
                <c:pt idx="3">
                  <c:v>596.27375492829833</c:v>
                </c:pt>
                <c:pt idx="4">
                  <c:v>6905.8584605473698</c:v>
                </c:pt>
                <c:pt idx="5">
                  <c:v>87738.652568707985</c:v>
                </c:pt>
                <c:pt idx="6">
                  <c:v>1797.6473317086675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6583040"/>
        <c:axId val="176584576"/>
      </c:barChart>
      <c:catAx>
        <c:axId val="176583040"/>
        <c:scaling>
          <c:orientation val="minMax"/>
        </c:scaling>
        <c:axPos val="b"/>
        <c:numFmt formatCode="General" sourceLinked="0"/>
        <c:tickLblPos val="nextTo"/>
        <c:crossAx val="176584576"/>
        <c:crosses val="autoZero"/>
        <c:auto val="1"/>
        <c:lblAlgn val="ctr"/>
        <c:lblOffset val="100"/>
      </c:catAx>
      <c:valAx>
        <c:axId val="176584576"/>
        <c:scaling>
          <c:orientation val="minMax"/>
        </c:scaling>
        <c:axPos val="l"/>
        <c:majorGridlines>
          <c:spPr>
            <a:ln>
              <a:noFill/>
            </a:ln>
          </c:spPr>
        </c:majorGridlines>
        <c:numFmt formatCode="#,##0" sourceLinked="1"/>
        <c:tickLblPos val="nextTo"/>
        <c:crossAx val="17658304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184464.7420217109</c:v>
                </c:pt>
                <c:pt idx="1">
                  <c:v>54028.982536214098</c:v>
                </c:pt>
                <c:pt idx="2">
                  <c:v>1170.348</c:v>
                </c:pt>
                <c:pt idx="3">
                  <c:v>596.27375492829833</c:v>
                </c:pt>
                <c:pt idx="4">
                  <c:v>6905.8584605473698</c:v>
                </c:pt>
                <c:pt idx="5">
                  <c:v>87738.652568707985</c:v>
                </c:pt>
                <c:pt idx="6">
                  <c:v>1797.6473317086675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36825.308407702403</c:v>
                </c:pt>
                <c:pt idx="2">
                  <c:v>11124.157085550674</c:v>
                </c:pt>
                <c:pt idx="3">
                  <c:v>252.44766152894371</c:v>
                </c:pt>
                <c:pt idx="4">
                  <c:v>145.2609573980441</c:v>
                </c:pt>
                <c:pt idx="5">
                  <c:v>1373.1814275156619</c:v>
                </c:pt>
                <c:pt idx="6">
                  <c:v>21898.385768257544</c:v>
                </c:pt>
                <c:pt idx="7">
                  <c:v>454.1766110555979</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270016"/>
        <c:axId val="183304576"/>
      </c:barChart>
      <c:catAx>
        <c:axId val="183270016"/>
        <c:scaling>
          <c:orientation val="minMax"/>
        </c:scaling>
        <c:axPos val="b"/>
        <c:numFmt formatCode="General" sourceLinked="0"/>
        <c:tickLblPos val="nextTo"/>
        <c:crossAx val="183304576"/>
        <c:crosses val="autoZero"/>
        <c:auto val="1"/>
        <c:lblAlgn val="ctr"/>
        <c:lblOffset val="100"/>
      </c:catAx>
      <c:valAx>
        <c:axId val="183304576"/>
        <c:scaling>
          <c:orientation val="minMax"/>
        </c:scaling>
        <c:axPos val="l"/>
        <c:majorGridlines>
          <c:spPr>
            <a:ln>
              <a:noFill/>
            </a:ln>
          </c:spPr>
        </c:majorGridlines>
        <c:numFmt formatCode="#,##0" sourceLinked="1"/>
        <c:tickLblPos val="nextTo"/>
        <c:crossAx val="18327001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36825.308407702403</c:v>
                </c:pt>
                <c:pt idx="2">
                  <c:v>11124.157085550674</c:v>
                </c:pt>
                <c:pt idx="3">
                  <c:v>252.44766152894371</c:v>
                </c:pt>
                <c:pt idx="4">
                  <c:v>145.2609573980441</c:v>
                </c:pt>
                <c:pt idx="5">
                  <c:v>1373.1814275156619</c:v>
                </c:pt>
                <c:pt idx="6">
                  <c:v>21898.385768257544</c:v>
                </c:pt>
                <c:pt idx="7">
                  <c:v>454.1766110555979</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B5" sqref="B5"/>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872</v>
      </c>
      <c r="B4" s="106"/>
      <c r="C4" s="107"/>
    </row>
    <row r="5" spans="1:7" s="413" customFormat="1" ht="15.75" customHeight="1">
      <c r="A5" s="410" t="s">
        <v>0</v>
      </c>
      <c r="B5" s="411"/>
      <c r="C5" s="412"/>
    </row>
    <row r="6" spans="1:7" s="413" customFormat="1" ht="15" customHeight="1">
      <c r="A6" s="414" t="str">
        <f>txtNIS</f>
        <v>23101</v>
      </c>
      <c r="B6" s="415"/>
      <c r="C6" s="416"/>
    </row>
    <row r="7" spans="1:7" s="413" customFormat="1" ht="15.75" customHeight="1">
      <c r="A7" s="417" t="str">
        <f>txtMunicipality</f>
        <v>SINT-GENESIUS-RODE</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0.21570307423855445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0.21570307423855445</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23101</v>
      </c>
      <c r="B1" s="332"/>
      <c r="C1" s="332"/>
      <c r="D1" s="332"/>
      <c r="E1" s="332"/>
      <c r="F1" s="333"/>
    </row>
    <row r="3" spans="1:6" ht="19.5">
      <c r="A3" s="335" t="s">
        <v>0</v>
      </c>
    </row>
    <row r="4" spans="1:6" ht="22.5">
      <c r="A4" s="1293" t="s">
        <v>873</v>
      </c>
    </row>
    <row r="5" spans="1:6" ht="22.5">
      <c r="A5" s="1293" t="s">
        <v>874</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6913</v>
      </c>
      <c r="C9" s="342">
        <v>7165</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416.84</v>
      </c>
    </row>
    <row r="15" spans="1:6">
      <c r="A15" s="348" t="s">
        <v>184</v>
      </c>
      <c r="B15" s="334">
        <v>3</v>
      </c>
    </row>
    <row r="16" spans="1:6">
      <c r="A16" s="348" t="s">
        <v>6</v>
      </c>
      <c r="B16" s="334">
        <v>61</v>
      </c>
    </row>
    <row r="17" spans="1:6">
      <c r="A17" s="348" t="s">
        <v>7</v>
      </c>
      <c r="B17" s="334">
        <v>133</v>
      </c>
    </row>
    <row r="18" spans="1:6">
      <c r="A18" s="348" t="s">
        <v>8</v>
      </c>
      <c r="B18" s="334">
        <v>128</v>
      </c>
    </row>
    <row r="19" spans="1:6">
      <c r="A19" s="348" t="s">
        <v>9</v>
      </c>
      <c r="B19" s="334">
        <v>138</v>
      </c>
    </row>
    <row r="20" spans="1:6">
      <c r="A20" s="348" t="s">
        <v>10</v>
      </c>
      <c r="B20" s="334">
        <v>185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0</v>
      </c>
    </row>
    <row r="27" spans="1:6">
      <c r="A27" s="348" t="s">
        <v>17</v>
      </c>
      <c r="B27" s="334">
        <v>0</v>
      </c>
    </row>
    <row r="28" spans="1:6" s="356" customFormat="1">
      <c r="A28" s="355" t="s">
        <v>18</v>
      </c>
      <c r="B28" s="355">
        <v>4</v>
      </c>
    </row>
    <row r="29" spans="1:6">
      <c r="A29" s="355" t="s">
        <v>744</v>
      </c>
      <c r="B29" s="355">
        <v>170</v>
      </c>
      <c r="C29" s="356"/>
      <c r="D29" s="356"/>
      <c r="E29" s="356"/>
      <c r="F29" s="356"/>
    </row>
    <row r="30" spans="1:6">
      <c r="A30" s="341" t="s">
        <v>745</v>
      </c>
      <c r="B30" s="341">
        <v>15</v>
      </c>
      <c r="C30" s="342"/>
      <c r="D30" s="342"/>
      <c r="E30" s="342"/>
      <c r="F30" s="342"/>
    </row>
    <row r="31" spans="1:6" ht="15.75" thickBot="1">
      <c r="A31" s="343"/>
    </row>
    <row r="32" spans="1:6" ht="20.25" thickBot="1">
      <c r="A32" s="336" t="s">
        <v>19</v>
      </c>
      <c r="B32" s="337" t="s">
        <v>394</v>
      </c>
      <c r="C32" s="337" t="s">
        <v>875</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6764</v>
      </c>
    </row>
    <row r="39" spans="1:6">
      <c r="A39" s="348" t="s">
        <v>30</v>
      </c>
      <c r="B39" s="348" t="s">
        <v>31</v>
      </c>
      <c r="C39" s="334">
        <v>5404</v>
      </c>
      <c r="D39" s="334">
        <v>146504874.59489501</v>
      </c>
      <c r="E39" s="334">
        <v>6776</v>
      </c>
      <c r="F39" s="334">
        <v>32173141.304187302</v>
      </c>
    </row>
    <row r="40" spans="1:6">
      <c r="A40" s="348" t="s">
        <v>30</v>
      </c>
      <c r="B40" s="348" t="s">
        <v>29</v>
      </c>
      <c r="C40" s="334">
        <v>1</v>
      </c>
      <c r="D40" s="334">
        <v>96057.676660454104</v>
      </c>
      <c r="E40" s="334">
        <v>1</v>
      </c>
      <c r="F40" s="334">
        <v>11181.544905700999</v>
      </c>
    </row>
    <row r="41" spans="1:6">
      <c r="A41" s="348" t="s">
        <v>32</v>
      </c>
      <c r="B41" s="348" t="s">
        <v>33</v>
      </c>
      <c r="C41" s="334">
        <v>49</v>
      </c>
      <c r="D41" s="334">
        <v>2212850.7723471601</v>
      </c>
      <c r="E41" s="334">
        <v>94</v>
      </c>
      <c r="F41" s="334">
        <v>1543931.51589662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8</v>
      </c>
      <c r="F44" s="334">
        <v>78848.255574932802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6</v>
      </c>
      <c r="D47" s="334">
        <v>185285.06210944999</v>
      </c>
      <c r="E47" s="334">
        <v>8</v>
      </c>
      <c r="F47" s="334">
        <v>54653.776143332499</v>
      </c>
    </row>
    <row r="48" spans="1:6">
      <c r="A48" s="348" t="s">
        <v>32</v>
      </c>
      <c r="B48" s="348" t="s">
        <v>29</v>
      </c>
      <c r="C48" s="334">
        <v>24</v>
      </c>
      <c r="D48" s="334">
        <v>579811.93523089099</v>
      </c>
      <c r="E48" s="334">
        <v>19</v>
      </c>
      <c r="F48" s="334">
        <v>115219.46854100699</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0</v>
      </c>
      <c r="F51" s="334">
        <v>0</v>
      </c>
    </row>
    <row r="52" spans="1:6">
      <c r="A52" s="348" t="s">
        <v>42</v>
      </c>
      <c r="B52" s="348" t="s">
        <v>29</v>
      </c>
      <c r="C52" s="334">
        <v>4</v>
      </c>
      <c r="D52" s="334">
        <v>182915.16262364699</v>
      </c>
      <c r="E52" s="334">
        <v>5</v>
      </c>
      <c r="F52" s="334">
        <v>80761.556032949404</v>
      </c>
    </row>
    <row r="53" spans="1:6">
      <c r="A53" s="348" t="s">
        <v>44</v>
      </c>
      <c r="B53" s="348" t="s">
        <v>45</v>
      </c>
      <c r="C53" s="334">
        <v>225</v>
      </c>
      <c r="D53" s="334">
        <v>8723616.8824162204</v>
      </c>
      <c r="E53" s="334">
        <v>339</v>
      </c>
      <c r="F53" s="334">
        <v>1976303.38265496</v>
      </c>
    </row>
    <row r="54" spans="1:6">
      <c r="A54" s="348" t="s">
        <v>46</v>
      </c>
      <c r="B54" s="348" t="s">
        <v>47</v>
      </c>
      <c r="C54" s="334">
        <v>0</v>
      </c>
      <c r="D54" s="334">
        <v>0</v>
      </c>
      <c r="E54" s="334">
        <v>1</v>
      </c>
      <c r="F54" s="334">
        <v>1170348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36</v>
      </c>
      <c r="D57" s="334">
        <v>2546524.51828438</v>
      </c>
      <c r="E57" s="334">
        <v>73</v>
      </c>
      <c r="F57" s="334">
        <v>986072.45813815994</v>
      </c>
    </row>
    <row r="58" spans="1:6">
      <c r="A58" s="348" t="s">
        <v>49</v>
      </c>
      <c r="B58" s="348" t="s">
        <v>51</v>
      </c>
      <c r="C58" s="334">
        <v>33</v>
      </c>
      <c r="D58" s="334">
        <v>1567221.10571915</v>
      </c>
      <c r="E58" s="334">
        <v>41</v>
      </c>
      <c r="F58" s="334">
        <v>318860.124252168</v>
      </c>
    </row>
    <row r="59" spans="1:6">
      <c r="A59" s="348" t="s">
        <v>49</v>
      </c>
      <c r="B59" s="348" t="s">
        <v>52</v>
      </c>
      <c r="C59" s="334">
        <v>98</v>
      </c>
      <c r="D59" s="334">
        <v>3773351.6687582</v>
      </c>
      <c r="E59" s="334">
        <v>174</v>
      </c>
      <c r="F59" s="334">
        <v>3967040.3943028599</v>
      </c>
    </row>
    <row r="60" spans="1:6">
      <c r="A60" s="348" t="s">
        <v>49</v>
      </c>
      <c r="B60" s="348" t="s">
        <v>53</v>
      </c>
      <c r="C60" s="334">
        <v>21</v>
      </c>
      <c r="D60" s="334">
        <v>1158581.3009983001</v>
      </c>
      <c r="E60" s="334">
        <v>24</v>
      </c>
      <c r="F60" s="334">
        <v>435280.51158004801</v>
      </c>
    </row>
    <row r="61" spans="1:6">
      <c r="A61" s="348" t="s">
        <v>49</v>
      </c>
      <c r="B61" s="348" t="s">
        <v>54</v>
      </c>
      <c r="C61" s="334">
        <v>309</v>
      </c>
      <c r="D61" s="334">
        <v>21694203.116468299</v>
      </c>
      <c r="E61" s="334">
        <v>484</v>
      </c>
      <c r="F61" s="334">
        <v>7814772.3294128701</v>
      </c>
    </row>
    <row r="62" spans="1:6">
      <c r="A62" s="348" t="s">
        <v>49</v>
      </c>
      <c r="B62" s="348" t="s">
        <v>55</v>
      </c>
      <c r="C62" s="334">
        <v>10</v>
      </c>
      <c r="D62" s="334">
        <v>2327276.4527358999</v>
      </c>
      <c r="E62" s="334">
        <v>10</v>
      </c>
      <c r="F62" s="334">
        <v>1446322.2501000301</v>
      </c>
    </row>
    <row r="63" spans="1:6">
      <c r="A63" s="348" t="s">
        <v>49</v>
      </c>
      <c r="B63" s="348" t="s">
        <v>29</v>
      </c>
      <c r="C63" s="334">
        <v>103</v>
      </c>
      <c r="D63" s="334">
        <v>4044612.47490494</v>
      </c>
      <c r="E63" s="334">
        <v>96</v>
      </c>
      <c r="F63" s="334">
        <v>1559272.8168829801</v>
      </c>
    </row>
    <row r="64" spans="1:6">
      <c r="A64" s="348" t="s">
        <v>56</v>
      </c>
      <c r="B64" s="348" t="s">
        <v>57</v>
      </c>
      <c r="C64" s="334">
        <v>0</v>
      </c>
      <c r="D64" s="334">
        <v>0</v>
      </c>
      <c r="E64" s="334">
        <v>0</v>
      </c>
      <c r="F64" s="334">
        <v>0</v>
      </c>
    </row>
    <row r="65" spans="1:6">
      <c r="A65" s="348" t="s">
        <v>56</v>
      </c>
      <c r="B65" s="348" t="s">
        <v>29</v>
      </c>
      <c r="C65" s="334">
        <v>4</v>
      </c>
      <c r="D65" s="334">
        <v>88295.202421360998</v>
      </c>
      <c r="E65" s="334">
        <v>3</v>
      </c>
      <c r="F65" s="334">
        <v>15332.2636682025</v>
      </c>
    </row>
    <row r="66" spans="1:6">
      <c r="A66" s="348" t="s">
        <v>56</v>
      </c>
      <c r="B66" s="348" t="s">
        <v>58</v>
      </c>
      <c r="C66" s="334">
        <v>0</v>
      </c>
      <c r="D66" s="334">
        <v>0</v>
      </c>
      <c r="E66" s="334">
        <v>9</v>
      </c>
      <c r="F66" s="334">
        <v>169500.80034204799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876</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42983846</v>
      </c>
      <c r="E73" s="475">
        <v>43765817.854659125</v>
      </c>
    </row>
    <row r="74" spans="1:6">
      <c r="A74" s="348" t="s">
        <v>64</v>
      </c>
      <c r="B74" s="348" t="s">
        <v>657</v>
      </c>
      <c r="C74" s="1295" t="s">
        <v>659</v>
      </c>
      <c r="D74" s="475">
        <v>305604</v>
      </c>
      <c r="E74" s="475">
        <v>306408.12029838748</v>
      </c>
    </row>
    <row r="75" spans="1:6">
      <c r="A75" s="348" t="s">
        <v>65</v>
      </c>
      <c r="B75" s="348" t="s">
        <v>656</v>
      </c>
      <c r="C75" s="1295" t="s">
        <v>660</v>
      </c>
      <c r="D75" s="475">
        <v>62962054</v>
      </c>
      <c r="E75" s="475">
        <v>63801533.070832357</v>
      </c>
    </row>
    <row r="76" spans="1:6">
      <c r="A76" s="348" t="s">
        <v>65</v>
      </c>
      <c r="B76" s="348" t="s">
        <v>657</v>
      </c>
      <c r="C76" s="1295" t="s">
        <v>661</v>
      </c>
      <c r="D76" s="475">
        <v>1096604</v>
      </c>
      <c r="E76" s="475">
        <v>1070800.2338129107</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877</v>
      </c>
      <c r="D81" s="337"/>
      <c r="E81" s="337"/>
      <c r="F81" s="344"/>
    </row>
    <row r="82" spans="1:6" ht="16.5" thickTop="1" thickBot="1">
      <c r="A82" s="345" t="s">
        <v>335</v>
      </c>
      <c r="B82" s="361">
        <v>2016</v>
      </c>
      <c r="C82" s="361">
        <v>2020</v>
      </c>
      <c r="D82" s="346"/>
      <c r="E82" s="346"/>
      <c r="F82" s="347"/>
    </row>
    <row r="83" spans="1:6">
      <c r="A83" s="348" t="s">
        <v>336</v>
      </c>
      <c r="B83" s="475">
        <v>487552</v>
      </c>
      <c r="C83" s="475">
        <v>488215.52488168475</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878</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1057.3899683170582</v>
      </c>
    </row>
    <row r="92" spans="1:6">
      <c r="A92" s="341" t="s">
        <v>69</v>
      </c>
      <c r="B92" s="342">
        <v>256.80078075642172</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3717</v>
      </c>
    </row>
    <row r="98" spans="1:6">
      <c r="A98" s="348" t="s">
        <v>72</v>
      </c>
      <c r="B98" s="334">
        <v>2</v>
      </c>
    </row>
    <row r="99" spans="1:6">
      <c r="A99" s="348" t="s">
        <v>73</v>
      </c>
      <c r="B99" s="334">
        <v>15</v>
      </c>
    </row>
    <row r="100" spans="1:6">
      <c r="A100" s="348" t="s">
        <v>74</v>
      </c>
      <c r="B100" s="334">
        <v>320</v>
      </c>
    </row>
    <row r="101" spans="1:6">
      <c r="A101" s="348" t="s">
        <v>75</v>
      </c>
      <c r="B101" s="334">
        <v>35</v>
      </c>
    </row>
    <row r="102" spans="1:6">
      <c r="A102" s="348" t="s">
        <v>76</v>
      </c>
      <c r="B102" s="334">
        <v>97</v>
      </c>
    </row>
    <row r="103" spans="1:6">
      <c r="A103" s="348" t="s">
        <v>77</v>
      </c>
      <c r="B103" s="334">
        <v>46</v>
      </c>
    </row>
    <row r="104" spans="1:6">
      <c r="A104" s="348" t="s">
        <v>78</v>
      </c>
      <c r="B104" s="334">
        <v>1914</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879</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880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8</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879</v>
      </c>
      <c r="D127" s="337"/>
      <c r="E127" s="337"/>
      <c r="F127" s="344"/>
    </row>
    <row r="128" spans="1:6" ht="16.5" thickTop="1" thickBot="1">
      <c r="A128" s="345" t="s">
        <v>4</v>
      </c>
      <c r="B128" s="346" t="s">
        <v>5</v>
      </c>
      <c r="C128" s="346"/>
      <c r="D128" s="346"/>
      <c r="E128" s="346"/>
      <c r="F128" s="347"/>
    </row>
    <row r="129" spans="1:6">
      <c r="A129" s="348" t="s">
        <v>294</v>
      </c>
      <c r="B129" s="334">
        <v>47</v>
      </c>
    </row>
    <row r="130" spans="1:6">
      <c r="A130" s="348" t="s">
        <v>295</v>
      </c>
      <c r="B130" s="334">
        <v>1</v>
      </c>
    </row>
    <row r="131" spans="1:6">
      <c r="A131" s="348" t="s">
        <v>296</v>
      </c>
      <c r="B131" s="334">
        <v>0</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54831.079125031611</v>
      </c>
      <c r="C3" s="43" t="s">
        <v>170</v>
      </c>
      <c r="D3" s="43"/>
      <c r="E3" s="154"/>
      <c r="F3" s="43"/>
      <c r="G3" s="43"/>
      <c r="H3" s="43"/>
      <c r="I3" s="43"/>
      <c r="J3" s="43"/>
      <c r="K3" s="96"/>
    </row>
    <row r="4" spans="1:11">
      <c r="A4" s="383" t="s">
        <v>171</v>
      </c>
      <c r="B4" s="49">
        <f>IF(ISERROR('SEAP template'!B78+'SEAP template'!C78),0,'SEAP template'!B78+'SEAP template'!C78)</f>
        <v>1314.19074907348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0.21570307423855445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1170.348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1170.348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0.21570307423855445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252.44766152894371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32184.322849093001</v>
      </c>
      <c r="C5" s="17">
        <f>IF(ISERROR('Eigen informatie GS &amp; warmtenet'!B57),0,'Eigen informatie GS &amp; warmtenet'!B57)</f>
        <v>0</v>
      </c>
      <c r="D5" s="30">
        <f>(SUM(HH_hh_gas_kWh,HH_rest_gas_kWh)/1000)*0.902</f>
        <v>132234.04090894302</v>
      </c>
      <c r="E5" s="17">
        <f>B46*B57</f>
        <v>946.10916425958487</v>
      </c>
      <c r="F5" s="17">
        <f>B51*B62</f>
        <v>10220.695566061728</v>
      </c>
      <c r="G5" s="18"/>
      <c r="H5" s="17"/>
      <c r="I5" s="17"/>
      <c r="J5" s="17">
        <f>B50*B61+C50*C61</f>
        <v>0</v>
      </c>
      <c r="K5" s="17"/>
      <c r="L5" s="17"/>
      <c r="M5" s="17"/>
      <c r="N5" s="17">
        <f>B48*B59+C48*C59</f>
        <v>7523.3402317032014</v>
      </c>
      <c r="O5" s="17">
        <f>B69*B70*B71</f>
        <v>89.11</v>
      </c>
      <c r="P5" s="17">
        <f>B77*B78*B79/1000-B77*B78*B79/1000/B80</f>
        <v>209.73333333333335</v>
      </c>
    </row>
    <row r="6" spans="1:16">
      <c r="A6" s="16" t="s">
        <v>621</v>
      </c>
      <c r="B6" s="788">
        <f>kWh_PV_kleiner_dan_10kW</f>
        <v>1057.3899683170582</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33241.712817410058</v>
      </c>
      <c r="C8" s="21">
        <f>C5</f>
        <v>0</v>
      </c>
      <c r="D8" s="21">
        <f>D5</f>
        <v>132234.04090894302</v>
      </c>
      <c r="E8" s="21">
        <f>E5</f>
        <v>946.10916425958487</v>
      </c>
      <c r="F8" s="21">
        <f>F5</f>
        <v>10220.695566061728</v>
      </c>
      <c r="G8" s="21"/>
      <c r="H8" s="21"/>
      <c r="I8" s="21"/>
      <c r="J8" s="21">
        <f>J5</f>
        <v>0</v>
      </c>
      <c r="K8" s="21"/>
      <c r="L8" s="21">
        <f>L5</f>
        <v>0</v>
      </c>
      <c r="M8" s="21">
        <f>M5</f>
        <v>0</v>
      </c>
      <c r="N8" s="21">
        <f>N5</f>
        <v>7523.3402317032014</v>
      </c>
      <c r="O8" s="21">
        <f>O5</f>
        <v>89.11</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0.21570307423855445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7170.3396476705084</v>
      </c>
      <c r="C12" s="23">
        <f ca="1">C10*C8</f>
        <v>0</v>
      </c>
      <c r="D12" s="23">
        <f>D8*D10</f>
        <v>26711.276263606491</v>
      </c>
      <c r="E12" s="23">
        <f>E10*E8</f>
        <v>214.76678028692578</v>
      </c>
      <c r="F12" s="23">
        <f>F10*F8</f>
        <v>2728.9257161384817</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3717</v>
      </c>
      <c r="C18" s="166" t="s">
        <v>111</v>
      </c>
      <c r="D18" s="228"/>
      <c r="E18" s="15"/>
    </row>
    <row r="19" spans="1:7">
      <c r="A19" s="171" t="s">
        <v>72</v>
      </c>
      <c r="B19" s="37">
        <f>aantalw2001_ander</f>
        <v>2</v>
      </c>
      <c r="C19" s="166" t="s">
        <v>111</v>
      </c>
      <c r="D19" s="229"/>
      <c r="E19" s="15"/>
    </row>
    <row r="20" spans="1:7">
      <c r="A20" s="171" t="s">
        <v>73</v>
      </c>
      <c r="B20" s="37">
        <f>aantalw2001_propaan</f>
        <v>15</v>
      </c>
      <c r="C20" s="167">
        <f>IF(ISERROR(B20/SUM($B$20,$B$21,$B$22)*100),0,B20/SUM($B$20,$B$21,$B$22)*100)</f>
        <v>4.0540540540540544</v>
      </c>
      <c r="D20" s="229"/>
      <c r="E20" s="15"/>
    </row>
    <row r="21" spans="1:7">
      <c r="A21" s="171" t="s">
        <v>74</v>
      </c>
      <c r="B21" s="37">
        <f>aantalw2001_elektriciteit</f>
        <v>320</v>
      </c>
      <c r="C21" s="167">
        <f>IF(ISERROR(B21/SUM($B$20,$B$21,$B$22)*100),0,B21/SUM($B$20,$B$21,$B$22)*100)</f>
        <v>86.486486486486484</v>
      </c>
      <c r="D21" s="229"/>
      <c r="E21" s="15"/>
    </row>
    <row r="22" spans="1:7">
      <c r="A22" s="171" t="s">
        <v>75</v>
      </c>
      <c r="B22" s="37">
        <f>aantalw2001_hout</f>
        <v>35</v>
      </c>
      <c r="C22" s="167">
        <f>IF(ISERROR(B22/SUM($B$20,$B$21,$B$22)*100),0,B22/SUM($B$20,$B$21,$B$22)*100)</f>
        <v>9.4594594594594597</v>
      </c>
      <c r="D22" s="229"/>
      <c r="E22" s="15"/>
    </row>
    <row r="23" spans="1:7">
      <c r="A23" s="171" t="s">
        <v>76</v>
      </c>
      <c r="B23" s="37">
        <f>aantalw2001_niet_gespec</f>
        <v>97</v>
      </c>
      <c r="C23" s="166" t="s">
        <v>111</v>
      </c>
      <c r="D23" s="228"/>
      <c r="E23" s="15"/>
    </row>
    <row r="24" spans="1:7">
      <c r="A24" s="171" t="s">
        <v>77</v>
      </c>
      <c r="B24" s="37">
        <f>aantalw2001_steenkool</f>
        <v>46</v>
      </c>
      <c r="C24" s="166" t="s">
        <v>111</v>
      </c>
      <c r="D24" s="229"/>
      <c r="E24" s="15"/>
    </row>
    <row r="25" spans="1:7">
      <c r="A25" s="171" t="s">
        <v>78</v>
      </c>
      <c r="B25" s="37">
        <f>aantalw2001_stookolie</f>
        <v>1914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793</v>
      </c>
      <c r="B28" s="37">
        <f>aantalHuishoudens2011</f>
        <v>6913</v>
      </c>
      <c r="C28" s="36"/>
      <c r="D28" s="228"/>
    </row>
    <row r="29" spans="1:7" s="15" customFormat="1">
      <c r="A29" s="230" t="s">
        <v>794</v>
      </c>
      <c r="B29" s="37">
        <f>SUM(HH_hh_gas_aantal,HH_rest_gas_aantal)</f>
        <v>5405</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5405</v>
      </c>
      <c r="C32" s="167">
        <f>IF(ISERROR(B32/SUM($B$32,$B$34,$B$35,$B$36,$B$38,$B$39)*100),0,B32/SUM($B$32,$B$34,$B$35,$B$36,$B$38,$B$39)*100)</f>
        <v>78.31063459866705</v>
      </c>
      <c r="D32" s="233"/>
      <c r="G32" s="15"/>
    </row>
    <row r="33" spans="1:7">
      <c r="A33" s="171" t="s">
        <v>72</v>
      </c>
      <c r="B33" s="34" t="s">
        <v>111</v>
      </c>
      <c r="C33" s="167"/>
      <c r="D33" s="233"/>
      <c r="G33" s="15"/>
    </row>
    <row r="34" spans="1:7">
      <c r="A34" s="171" t="s">
        <v>73</v>
      </c>
      <c r="B34" s="33">
        <f>IF((($B$28-$B$32-$B$39-$B$77-$B$38)*C20/100)&lt;0,0,($B$28-$B$32-$B$39-$B$77-$B$38)*C20/100)</f>
        <v>44.683783783783795</v>
      </c>
      <c r="C34" s="167">
        <f>IF(ISERROR(B34/SUM($B$32,$B$34,$B$35,$B$36,$B$38,$B$39)*100),0,B34/SUM($B$32,$B$34,$B$35,$B$36,$B$38,$B$39)*100)</f>
        <v>0.64740341616609376</v>
      </c>
      <c r="D34" s="233"/>
      <c r="G34" s="15"/>
    </row>
    <row r="35" spans="1:7">
      <c r="A35" s="171" t="s">
        <v>74</v>
      </c>
      <c r="B35" s="33">
        <f>IF((($B$28-$B$32-$B$39-$B$77-$B$38)*C21/100)&lt;0,0,($B$28-$B$32-$B$39-$B$77-$B$38)*C21/100)</f>
        <v>953.25405405405411</v>
      </c>
      <c r="C35" s="167">
        <f>IF(ISERROR(B35/SUM($B$32,$B$34,$B$35,$B$36,$B$38,$B$39)*100),0,B35/SUM($B$32,$B$34,$B$35,$B$36,$B$38,$B$39)*100)</f>
        <v>13.811272878209998</v>
      </c>
      <c r="D35" s="233"/>
      <c r="G35" s="15"/>
    </row>
    <row r="36" spans="1:7">
      <c r="A36" s="171" t="s">
        <v>75</v>
      </c>
      <c r="B36" s="33">
        <f>IF((($B$28-$B$32-$B$39-$B$77-$B$38)*C22/100)&lt;0,0,($B$28-$B$32-$B$39-$B$77-$B$38)*C22/100)</f>
        <v>104.26216216216217</v>
      </c>
      <c r="C36" s="167">
        <f>IF(ISERROR(B36/SUM($B$32,$B$34,$B$35,$B$36,$B$38,$B$39)*100),0,B36/SUM($B$32,$B$34,$B$35,$B$36,$B$38,$B$39)*100)</f>
        <v>1.5106079710542186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394.79999999999995</v>
      </c>
      <c r="C39" s="167">
        <f>IF(ISERROR(B39/SUM($B$32,$B$34,$B$35,$B$36,$B$38,$B$39)*100),0,B39/SUM($B$32,$B$34,$B$35,$B$36,$B$38,$B$39)*100)</f>
        <v>5.7200811359026362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5405</v>
      </c>
      <c r="C44" s="34" t="s">
        <v>111</v>
      </c>
      <c r="D44" s="174"/>
    </row>
    <row r="45" spans="1:7">
      <c r="A45" s="171" t="s">
        <v>72</v>
      </c>
      <c r="B45" s="33" t="str">
        <f t="shared" si="0"/>
        <v>-</v>
      </c>
      <c r="C45" s="34" t="s">
        <v>111</v>
      </c>
      <c r="D45" s="174"/>
    </row>
    <row r="46" spans="1:7">
      <c r="A46" s="171" t="s">
        <v>73</v>
      </c>
      <c r="B46" s="33">
        <f t="shared" si="0"/>
        <v>44.683783783783795</v>
      </c>
      <c r="C46" s="34" t="s">
        <v>111</v>
      </c>
      <c r="D46" s="174"/>
    </row>
    <row r="47" spans="1:7">
      <c r="A47" s="171" t="s">
        <v>74</v>
      </c>
      <c r="B47" s="33">
        <f t="shared" si="0"/>
        <v>953.25405405405411</v>
      </c>
      <c r="C47" s="34" t="s">
        <v>111</v>
      </c>
      <c r="D47" s="174"/>
    </row>
    <row r="48" spans="1:7">
      <c r="A48" s="171" t="s">
        <v>75</v>
      </c>
      <c r="B48" s="33">
        <f t="shared" si="0"/>
        <v>104.26216216216217</v>
      </c>
      <c r="C48" s="33">
        <f>B48*10</f>
        <v>1042.6216216216217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394.79999999999995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16527.620884669115</v>
      </c>
      <c r="C5" s="17">
        <f>IF(ISERROR('Eigen informatie GS &amp; warmtenet'!B58),0,'Eigen informatie GS &amp; warmtenet'!B58)</f>
        <v>0</v>
      </c>
      <c r="D5" s="30">
        <f>SUM(D6:D12)</f>
        <v>33474.81711535799</v>
      </c>
      <c r="E5" s="17">
        <f>SUM(E6:E12)</f>
        <v>192.54721321937458</v>
      </c>
      <c r="F5" s="17">
        <f>SUM(F6:F12)</f>
        <v>2821.9785116163598</v>
      </c>
      <c r="G5" s="18"/>
      <c r="H5" s="17"/>
      <c r="I5" s="17"/>
      <c r="J5" s="17">
        <f>SUM(J6:J12)</f>
        <v>2.5179586245570838E-2</v>
      </c>
      <c r="K5" s="17"/>
      <c r="L5" s="17"/>
      <c r="M5" s="17"/>
      <c r="N5" s="17">
        <f>SUM(N6:N12)</f>
        <v>1010.4302984316793</v>
      </c>
      <c r="O5" s="17">
        <f>B38*B39*B40</f>
        <v>1.5633333333333335</v>
      </c>
      <c r="P5" s="17">
        <f>B46*B47*B48/1000-B46*B47*B48/1000/B49</f>
        <v>0</v>
      </c>
      <c r="R5" s="32"/>
    </row>
    <row r="6" spans="1:18">
      <c r="A6" s="32" t="s">
        <v>54</v>
      </c>
      <c r="B6" s="37">
        <f>B26</f>
        <v>7814.77232941287</v>
      </c>
      <c r="C6" s="33"/>
      <c r="D6" s="37">
        <f>IF(ISERROR(TER_kantoor_gas_kWh/1000),0,TER_kantoor_gas_kWh/1000)*0.902</f>
        <v>19568.171211054407</v>
      </c>
      <c r="E6" s="33">
        <f>$C$26*'E Balans VL '!I12/100/3.6*1000000</f>
        <v>4.8980393808202495E-2</v>
      </c>
      <c r="F6" s="33">
        <f>$C$26*('E Balans VL '!L12+'E Balans VL '!N12)/100/3.6*1000000</f>
        <v>1174.3419155455247</v>
      </c>
      <c r="G6" s="34"/>
      <c r="H6" s="33"/>
      <c r="I6" s="33"/>
      <c r="J6" s="33">
        <f>$C$26*('E Balans VL '!D12+'E Balans VL '!E12)/100/3.6*1000000</f>
        <v>0</v>
      </c>
      <c r="K6" s="33"/>
      <c r="L6" s="33"/>
      <c r="M6" s="33"/>
      <c r="N6" s="33">
        <f>$C$26*'E Balans VL '!Y12/100/3.6*1000000</f>
        <v>7.4736710659286132</v>
      </c>
      <c r="O6" s="33"/>
      <c r="P6" s="33"/>
      <c r="R6" s="32"/>
    </row>
    <row r="7" spans="1:18">
      <c r="A7" s="32" t="s">
        <v>53</v>
      </c>
      <c r="B7" s="37">
        <f t="shared" ref="B7:B12" si="0">B27</f>
        <v>435.28051158004803</v>
      </c>
      <c r="C7" s="33"/>
      <c r="D7" s="37">
        <f>IF(ISERROR(TER_horeca_gas_kWh/1000),0,TER_horeca_gas_kWh/1000)*0.902</f>
        <v>1045.0403335004667</v>
      </c>
      <c r="E7" s="33">
        <f>$C$27*'E Balans VL '!I9/100/3.6*1000000</f>
        <v>6.2331444219339138</v>
      </c>
      <c r="F7" s="33">
        <f>$C$27*('E Balans VL '!L9+'E Balans VL '!N9)/100/3.6*1000000</f>
        <v>55.120868870387312</v>
      </c>
      <c r="G7" s="34"/>
      <c r="H7" s="33"/>
      <c r="I7" s="33"/>
      <c r="J7" s="33">
        <f>$C$27*('E Balans VL '!D9+'E Balans VL '!E9)/100/3.6*1000000</f>
        <v>0</v>
      </c>
      <c r="K7" s="33"/>
      <c r="L7" s="33"/>
      <c r="M7" s="33"/>
      <c r="N7" s="33">
        <f>$C$27*'E Balans VL '!Y9/100/3.6*1000000</f>
        <v>0.1251335499677963</v>
      </c>
      <c r="O7" s="33"/>
      <c r="P7" s="33"/>
      <c r="R7" s="32"/>
    </row>
    <row r="8" spans="1:18">
      <c r="A8" s="6" t="s">
        <v>52</v>
      </c>
      <c r="B8" s="37">
        <f t="shared" si="0"/>
        <v>3967.04039430286</v>
      </c>
      <c r="C8" s="33"/>
      <c r="D8" s="37">
        <f>IF(ISERROR(TER_handel_gas_kWh/1000),0,TER_handel_gas_kWh/1000)*0.902</f>
        <v>3403.5632052198966</v>
      </c>
      <c r="E8" s="33">
        <f>$C$28*'E Balans VL '!I13/100/3.6*1000000</f>
        <v>143.88406590785996</v>
      </c>
      <c r="F8" s="33">
        <f>$C$28*('E Balans VL '!L13+'E Balans VL '!N13)/100/3.6*1000000</f>
        <v>764.09214878057821</v>
      </c>
      <c r="G8" s="34"/>
      <c r="H8" s="33"/>
      <c r="I8" s="33"/>
      <c r="J8" s="33">
        <f>$C$28*('E Balans VL '!D13+'E Balans VL '!E13)/100/3.6*1000000</f>
        <v>0</v>
      </c>
      <c r="K8" s="33"/>
      <c r="L8" s="33"/>
      <c r="M8" s="33"/>
      <c r="N8" s="33">
        <f>$C$28*'E Balans VL '!Y13/100/3.6*1000000</f>
        <v>5.4952637213956317</v>
      </c>
      <c r="O8" s="33"/>
      <c r="P8" s="33"/>
      <c r="R8" s="32"/>
    </row>
    <row r="9" spans="1:18">
      <c r="A9" s="32" t="s">
        <v>51</v>
      </c>
      <c r="B9" s="37">
        <f t="shared" si="0"/>
        <v>318.86012425216802</v>
      </c>
      <c r="C9" s="33"/>
      <c r="D9" s="37">
        <f>IF(ISERROR(TER_gezond_gas_kWh/1000),0,TER_gezond_gas_kWh/1000)*0.902</f>
        <v>1413.6334373586733</v>
      </c>
      <c r="E9" s="33">
        <f>$C$29*'E Balans VL '!I10/100/3.6*1000000</f>
        <v>1.9963791953162016E-2</v>
      </c>
      <c r="F9" s="33">
        <f>$C$29*('E Balans VL '!L10+'E Balans VL '!N10)/100/3.6*1000000</f>
        <v>47.367642294280316</v>
      </c>
      <c r="G9" s="34"/>
      <c r="H9" s="33"/>
      <c r="I9" s="33"/>
      <c r="J9" s="33">
        <f>$C$29*('E Balans VL '!D10+'E Balans VL '!E10)/100/3.6*1000000</f>
        <v>0</v>
      </c>
      <c r="K9" s="33"/>
      <c r="L9" s="33"/>
      <c r="M9" s="33"/>
      <c r="N9" s="33">
        <f>$C$29*'E Balans VL '!Y10/100/3.6*1000000</f>
        <v>4.9321591693045255</v>
      </c>
      <c r="O9" s="33"/>
      <c r="P9" s="33"/>
      <c r="R9" s="32"/>
    </row>
    <row r="10" spans="1:18">
      <c r="A10" s="32" t="s">
        <v>50</v>
      </c>
      <c r="B10" s="37">
        <f t="shared" si="0"/>
        <v>986.07245813815996</v>
      </c>
      <c r="C10" s="33"/>
      <c r="D10" s="37">
        <f>IF(ISERROR(TER_ander_gas_kWh/1000),0,TER_ander_gas_kWh/1000)*0.902</f>
        <v>2296.9651154925109</v>
      </c>
      <c r="E10" s="33">
        <f>$C$30*'E Balans VL '!I14/100/3.6*1000000</f>
        <v>1.1753631338249171</v>
      </c>
      <c r="F10" s="33">
        <f>$C$30*('E Balans VL '!L14+'E Balans VL '!N14)/100/3.6*1000000</f>
        <v>258.00039238730915</v>
      </c>
      <c r="G10" s="34"/>
      <c r="H10" s="33"/>
      <c r="I10" s="33"/>
      <c r="J10" s="33">
        <f>$C$30*('E Balans VL '!D14+'E Balans VL '!E14)/100/3.6*1000000</f>
        <v>2.1403767768871984E-2</v>
      </c>
      <c r="K10" s="33"/>
      <c r="L10" s="33"/>
      <c r="M10" s="33"/>
      <c r="N10" s="33">
        <f>$C$30*'E Balans VL '!Y14/100/3.6*1000000</f>
        <v>837.34860259751258</v>
      </c>
      <c r="O10" s="33"/>
      <c r="P10" s="33"/>
      <c r="R10" s="32"/>
    </row>
    <row r="11" spans="1:18">
      <c r="A11" s="32" t="s">
        <v>55</v>
      </c>
      <c r="B11" s="37">
        <f t="shared" si="0"/>
        <v>1446.32225010003</v>
      </c>
      <c r="C11" s="33"/>
      <c r="D11" s="37">
        <f>IF(ISERROR(TER_onderwijs_gas_kWh/1000),0,TER_onderwijs_gas_kWh/1000)*0.902</f>
        <v>2099.2033603677819</v>
      </c>
      <c r="E11" s="33">
        <f>$C$31*'E Balans VL '!I11/100/3.6*1000000</f>
        <v>21.822673230511988</v>
      </c>
      <c r="F11" s="33">
        <f>$C$31*('E Balans VL '!L11+'E Balans VL '!N11)/100/3.6*1000000</f>
        <v>253.41876390285702</v>
      </c>
      <c r="G11" s="34"/>
      <c r="H11" s="33"/>
      <c r="I11" s="33"/>
      <c r="J11" s="33">
        <f>$C$31*('E Balans VL '!D11+'E Balans VL '!E11)/100/3.6*1000000</f>
        <v>0</v>
      </c>
      <c r="K11" s="33"/>
      <c r="L11" s="33"/>
      <c r="M11" s="33"/>
      <c r="N11" s="33">
        <f>$C$31*'E Balans VL '!Y11/100/3.6*1000000</f>
        <v>4.0700607653861756</v>
      </c>
      <c r="O11" s="33"/>
      <c r="P11" s="33"/>
      <c r="R11" s="32"/>
    </row>
    <row r="12" spans="1:18">
      <c r="A12" s="32" t="s">
        <v>260</v>
      </c>
      <c r="B12" s="37">
        <f t="shared" si="0"/>
        <v>1559.2728168829801</v>
      </c>
      <c r="C12" s="33"/>
      <c r="D12" s="37">
        <f>IF(ISERROR(TER_rest_gas_kWh/1000),0,TER_rest_gas_kWh/1000)*0.902</f>
        <v>3648.2404523642558</v>
      </c>
      <c r="E12" s="33">
        <f>$C$32*'E Balans VL '!I8/100/3.6*1000000</f>
        <v>19.363022339482416</v>
      </c>
      <c r="F12" s="33">
        <f>$C$32*('E Balans VL '!L8+'E Balans VL '!N8)/100/3.6*1000000</f>
        <v>269.63677983542311</v>
      </c>
      <c r="G12" s="34"/>
      <c r="H12" s="33"/>
      <c r="I12" s="33"/>
      <c r="J12" s="33">
        <f>$C$32*('E Balans VL '!D8+'E Balans VL '!E8)/100/3.6*1000000</f>
        <v>3.7758184766988542E-3</v>
      </c>
      <c r="K12" s="33"/>
      <c r="L12" s="33"/>
      <c r="M12" s="33"/>
      <c r="N12" s="33">
        <f>$C$32*'E Balans VL '!Y8/100/3.6*1000000</f>
        <v>150.98540756218389</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16527.620884669115</v>
      </c>
      <c r="C16" s="21">
        <f t="shared" ca="1" si="1"/>
        <v>0</v>
      </c>
      <c r="D16" s="21">
        <f t="shared" ca="1" si="1"/>
        <v>33474.81711535799</v>
      </c>
      <c r="E16" s="21">
        <f t="shared" si="1"/>
        <v>192.54721321937458</v>
      </c>
      <c r="F16" s="21">
        <f t="shared" ca="1" si="1"/>
        <v>2821.9785116163598</v>
      </c>
      <c r="G16" s="21">
        <f t="shared" si="1"/>
        <v>0</v>
      </c>
      <c r="H16" s="21">
        <f t="shared" si="1"/>
        <v>0</v>
      </c>
      <c r="I16" s="21">
        <f t="shared" si="1"/>
        <v>0</v>
      </c>
      <c r="J16" s="21">
        <f t="shared" si="1"/>
        <v>2.5179586245570838E-2</v>
      </c>
      <c r="K16" s="21">
        <f t="shared" si="1"/>
        <v>0</v>
      </c>
      <c r="L16" s="21">
        <f t="shared" ca="1" si="1"/>
        <v>0</v>
      </c>
      <c r="M16" s="21">
        <f t="shared" si="1"/>
        <v>0</v>
      </c>
      <c r="N16" s="21">
        <f t="shared" ca="1" si="1"/>
        <v>1010.4302984316793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0.21570307423855445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3565.0586346724649</v>
      </c>
      <c r="C20" s="23">
        <f t="shared" ref="C20:P20" ca="1" si="2">C16*C18</f>
        <v>0</v>
      </c>
      <c r="D20" s="23">
        <f t="shared" ca="1" si="2"/>
        <v>6761.913057302314</v>
      </c>
      <c r="E20" s="23">
        <f t="shared" si="2"/>
        <v>43.708217400798034</v>
      </c>
      <c r="F20" s="23">
        <f t="shared" ca="1" si="2"/>
        <v>753.46826260156809</v>
      </c>
      <c r="G20" s="23">
        <f t="shared" si="2"/>
        <v>0</v>
      </c>
      <c r="H20" s="23">
        <f t="shared" si="2"/>
        <v>0</v>
      </c>
      <c r="I20" s="23">
        <f t="shared" si="2"/>
        <v>0</v>
      </c>
      <c r="J20" s="23">
        <f t="shared" si="2"/>
        <v>8.9135735309320771E-3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7814.77232941287</v>
      </c>
      <c r="C26" s="39">
        <f>IF(ISERROR(B26*3.6/1000000/'E Balans VL '!Z12*100),0,B26*3.6/1000000/'E Balans VL '!Z12*100)</f>
        <v>0.16519190744445528</v>
      </c>
      <c r="D26" s="237" t="s">
        <v>754</v>
      </c>
      <c r="F26" s="6"/>
    </row>
    <row r="27" spans="1:18">
      <c r="A27" s="231" t="s">
        <v>53</v>
      </c>
      <c r="B27" s="33">
        <f>IF(ISERROR(TER_horeca_ele_kWh/1000),0,TER_horeca_ele_kWh/1000)</f>
        <v>435.28051158004803</v>
      </c>
      <c r="C27" s="39">
        <f>IF(ISERROR(B27*3.6/1000000/'E Balans VL '!Z9*100),0,B27*3.6/1000000/'E Balans VL '!Z9*100)</f>
        <v>3.4313000490526005E-2</v>
      </c>
      <c r="D27" s="237" t="s">
        <v>754</v>
      </c>
      <c r="F27" s="6"/>
    </row>
    <row r="28" spans="1:18">
      <c r="A28" s="171" t="s">
        <v>52</v>
      </c>
      <c r="B28" s="33">
        <f>IF(ISERROR(TER_handel_ele_kWh/1000),0,TER_handel_ele_kWh/1000)</f>
        <v>3967.04039430286</v>
      </c>
      <c r="C28" s="39">
        <f>IF(ISERROR(B28*3.6/1000000/'E Balans VL '!Z13*100),0,B28*3.6/1000000/'E Balans VL '!Z13*100)</f>
        <v>0.11513954088196887</v>
      </c>
      <c r="D28" s="237" t="s">
        <v>754</v>
      </c>
      <c r="F28" s="6"/>
    </row>
    <row r="29" spans="1:18">
      <c r="A29" s="231" t="s">
        <v>51</v>
      </c>
      <c r="B29" s="33">
        <f>IF(ISERROR(TER_gezond_ele_kWh/1000),0,TER_gezond_ele_kWh/1000)</f>
        <v>318.86012425216802</v>
      </c>
      <c r="C29" s="39">
        <f>IF(ISERROR(B29*3.6/1000000/'E Balans VL '!Z10*100),0,B29*3.6/1000000/'E Balans VL '!Z10*100)</f>
        <v>3.3581206905198967E-2</v>
      </c>
      <c r="D29" s="237" t="s">
        <v>754</v>
      </c>
      <c r="F29" s="6"/>
    </row>
    <row r="30" spans="1:18">
      <c r="A30" s="231" t="s">
        <v>50</v>
      </c>
      <c r="B30" s="33">
        <f>IF(ISERROR(TER_ander_ele_kWh/1000),0,TER_ander_ele_kWh/1000)</f>
        <v>986.07245813815996</v>
      </c>
      <c r="C30" s="39">
        <f>IF(ISERROR(B30*3.6/1000000/'E Balans VL '!Z14*100),0,B30*3.6/1000000/'E Balans VL '!Z14*100)</f>
        <v>7.2732918686143205E-2</v>
      </c>
      <c r="D30" s="237" t="s">
        <v>754</v>
      </c>
      <c r="F30" s="6"/>
    </row>
    <row r="31" spans="1:18">
      <c r="A31" s="231" t="s">
        <v>55</v>
      </c>
      <c r="B31" s="33">
        <f>IF(ISERROR(TER_onderwijs_ele_kWh/1000),0,TER_onderwijs_ele_kWh/1000)</f>
        <v>1446.32225010003</v>
      </c>
      <c r="C31" s="39">
        <f>IF(ISERROR(B31*3.6/1000000/'E Balans VL '!Z11*100),0,B31*3.6/1000000/'E Balans VL '!Z11*100)</f>
        <v>0.35918956442395295</v>
      </c>
      <c r="D31" s="237" t="s">
        <v>754</v>
      </c>
    </row>
    <row r="32" spans="1:18">
      <c r="A32" s="231" t="s">
        <v>260</v>
      </c>
      <c r="B32" s="33">
        <f>IF(ISERROR(TER_rest_ele_kWh/1000),0,TER_rest_ele_kWh/1000)</f>
        <v>1559.2728168829801</v>
      </c>
      <c r="C32" s="39">
        <f>IF(ISERROR(B32*3.6/1000000/'E Balans VL '!Z8*100),0,B32*3.6/1000000/'E Balans VL '!Z8*100)</f>
        <v>1.2830745558675447E-2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1792.6530161558924</v>
      </c>
      <c r="C5" s="17">
        <f>IF(ISERROR('Eigen informatie GS &amp; warmtenet'!B59),0,'Eigen informatie GS &amp; warmtenet'!B59)</f>
        <v>0</v>
      </c>
      <c r="D5" s="30">
        <f>SUM(D6:D15)</f>
        <v>2686.1088882581262</v>
      </c>
      <c r="E5" s="17">
        <f>SUM(E6:E15)</f>
        <v>458.48566507218686</v>
      </c>
      <c r="F5" s="17">
        <f>SUM(F6:F15)</f>
        <v>1272.2150114767194</v>
      </c>
      <c r="G5" s="18"/>
      <c r="H5" s="17"/>
      <c r="I5" s="17"/>
      <c r="J5" s="17">
        <f>SUM(J6:J15)</f>
        <v>0.42093622600776509</v>
      </c>
      <c r="K5" s="17"/>
      <c r="L5" s="17"/>
      <c r="M5" s="17"/>
      <c r="N5" s="17">
        <f>SUM(N6:N15)</f>
        <v>695.97494335843749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78.848255574932807</v>
      </c>
      <c r="C8" s="33"/>
      <c r="D8" s="37">
        <f>IF( ISERROR(IND_metaal_Gas_kWH/1000),0,IND_metaal_Gas_kWH/1000)*0.902</f>
        <v>0</v>
      </c>
      <c r="E8" s="33">
        <f>C30*'E Balans VL '!I18/100/3.6*1000000</f>
        <v>0.72493355764206169</v>
      </c>
      <c r="F8" s="33">
        <f>C30*'E Balans VL '!L18/100/3.6*1000000+C30*'E Balans VL '!N18/100/3.6*1000000</f>
        <v>7.3933412487735062</v>
      </c>
      <c r="G8" s="34"/>
      <c r="H8" s="33"/>
      <c r="I8" s="33"/>
      <c r="J8" s="40">
        <f>C30*'E Balans VL '!D18/100/3.6*1000000+C30*'E Balans VL '!E18/100/3.6*1000000</f>
        <v>0</v>
      </c>
      <c r="K8" s="33"/>
      <c r="L8" s="33"/>
      <c r="M8" s="33"/>
      <c r="N8" s="33">
        <f>C30*'E Balans VL '!Y18/100/3.6*1000000</f>
        <v>1.1249006680059175</v>
      </c>
      <c r="O8" s="33"/>
      <c r="P8" s="33"/>
      <c r="R8" s="32"/>
    </row>
    <row r="9" spans="1:18">
      <c r="A9" s="6" t="s">
        <v>33</v>
      </c>
      <c r="B9" s="37">
        <f t="shared" si="0"/>
        <v>1543.9315158966199</v>
      </c>
      <c r="C9" s="33"/>
      <c r="D9" s="37">
        <f>IF( ISERROR(IND_andere_gas_kWh/1000),0,IND_andere_gas_kWh/1000)*0.902</f>
        <v>1995.9913966571387</v>
      </c>
      <c r="E9" s="33">
        <f>C31*'E Balans VL '!I19/100/3.6*1000000</f>
        <v>451.32123889801727</v>
      </c>
      <c r="F9" s="33">
        <f>C31*'E Balans VL '!L19/100/3.6*1000000+C31*'E Balans VL '!N19/100/3.6*1000000</f>
        <v>1240.6658379004505</v>
      </c>
      <c r="G9" s="34"/>
      <c r="H9" s="33"/>
      <c r="I9" s="33"/>
      <c r="J9" s="40">
        <f>C31*'E Balans VL '!D19/100/3.6*1000000+C31*'E Balans VL '!E19/100/3.6*1000000</f>
        <v>0</v>
      </c>
      <c r="K9" s="33"/>
      <c r="L9" s="33"/>
      <c r="M9" s="33"/>
      <c r="N9" s="33">
        <f>C31*'E Balans VL '!Y19/100/3.6*1000000</f>
        <v>510.13891753237556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54.6537761433325</v>
      </c>
      <c r="C13" s="33"/>
      <c r="D13" s="37">
        <f>IF( ISERROR(IND_papier_gas_kWh/1000),0,IND_papier_gas_kWh/1000)*0.902</f>
        <v>167.1271260227239</v>
      </c>
      <c r="E13" s="33">
        <f>C35*'E Balans VL '!I23/100/3.6*1000000</f>
        <v>7.7541209125816052E-2</v>
      </c>
      <c r="F13" s="33">
        <f>C35*'E Balans VL '!L23/100/3.6*1000000+C35*'E Balans VL '!N23/100/3.6*1000000</f>
        <v>1.3343041871072745</v>
      </c>
      <c r="G13" s="34"/>
      <c r="H13" s="33"/>
      <c r="I13" s="33"/>
      <c r="J13" s="40">
        <f>C35*'E Balans VL '!D23/100/3.6*1000000+C35*'E Balans VL '!E23/100/3.6*1000000</f>
        <v>8.4527196014850866E-3</v>
      </c>
      <c r="K13" s="33"/>
      <c r="L13" s="33"/>
      <c r="M13" s="33"/>
      <c r="N13" s="33">
        <f>C35*'E Balans VL '!Y23/100/3.6*1000000</f>
        <v>158.86558981122636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115.21946854100699</v>
      </c>
      <c r="C15" s="33"/>
      <c r="D15" s="37">
        <f>IF( ISERROR(IND_rest_gas_kWh/1000),0,IND_rest_gas_kWh/1000)*0.902</f>
        <v>522.99036557826366</v>
      </c>
      <c r="E15" s="33">
        <f>C37*'E Balans VL '!I15/100/3.6*1000000</f>
        <v>6.3619514074017305</v>
      </c>
      <c r="F15" s="33">
        <f>C37*'E Balans VL '!L15/100/3.6*1000000+C37*'E Balans VL '!N15/100/3.6*1000000</f>
        <v>22.821528140388057</v>
      </c>
      <c r="G15" s="34"/>
      <c r="H15" s="33"/>
      <c r="I15" s="33"/>
      <c r="J15" s="40">
        <f>C37*'E Balans VL '!D15/100/3.6*1000000+C37*'E Balans VL '!E15/100/3.6*1000000</f>
        <v>0.41248350640628001</v>
      </c>
      <c r="K15" s="33"/>
      <c r="L15" s="33"/>
      <c r="M15" s="33"/>
      <c r="N15" s="33">
        <f>C37*'E Balans VL '!Y15/100/3.6*1000000</f>
        <v>25.845535346829546</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1792.6530161558924</v>
      </c>
      <c r="C18" s="21">
        <f>C5+C16</f>
        <v>0</v>
      </c>
      <c r="D18" s="21">
        <f>MAX((D5+D16),0)</f>
        <v>2686.1088882581262</v>
      </c>
      <c r="E18" s="21">
        <f>MAX((E5+E16),0)</f>
        <v>458.48566507218686</v>
      </c>
      <c r="F18" s="21">
        <f>MAX((F5+F16),0)</f>
        <v>1272.2150114767194</v>
      </c>
      <c r="G18" s="21"/>
      <c r="H18" s="21"/>
      <c r="I18" s="21"/>
      <c r="J18" s="21">
        <f>MAX((J5+J16),0)</f>
        <v>0.42093622600776509</v>
      </c>
      <c r="K18" s="21"/>
      <c r="L18" s="21">
        <f>MAX((L5+L16),0)</f>
        <v>0</v>
      </c>
      <c r="M18" s="21"/>
      <c r="N18" s="21">
        <f>MAX((N5+N16),0)</f>
        <v>695.97494335843749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0.21570307423855445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386.68076662784301</v>
      </c>
      <c r="C22" s="23">
        <f ca="1">C18*C20</f>
        <v>0</v>
      </c>
      <c r="D22" s="23">
        <f>D18*D20</f>
        <v>542.59399542814151</v>
      </c>
      <c r="E22" s="23">
        <f>E18*E20</f>
        <v>104.07624597138643</v>
      </c>
      <c r="F22" s="23">
        <f>F18*F20</f>
        <v>339.68140806428408</v>
      </c>
      <c r="G22" s="23"/>
      <c r="H22" s="23"/>
      <c r="I22" s="23"/>
      <c r="J22" s="23">
        <f>J18*J20</f>
        <v>0.14901142400674883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78.848255574932807</v>
      </c>
      <c r="C30" s="39">
        <f>IF(ISERROR(B30*3.6/1000000/'E Balans VL '!Z18*100),0,B30*3.6/1000000/'E Balans VL '!Z18*100)</f>
        <v>4.4685328235822969E-3</v>
      </c>
      <c r="D30" s="237" t="s">
        <v>754</v>
      </c>
    </row>
    <row r="31" spans="1:18">
      <c r="A31" s="6" t="s">
        <v>33</v>
      </c>
      <c r="B31" s="37">
        <f>IF( ISERROR(IND_ander_ele_kWh/1000),0,IND_ander_ele_kWh/1000)</f>
        <v>1543.9315158966199</v>
      </c>
      <c r="C31" s="39">
        <f>IF(ISERROR(B31*3.6/1000000/'E Balans VL '!Z19*100),0,B31*3.6/1000000/'E Balans VL '!Z19*100)</f>
        <v>7.0026304742130119E-2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54.6537761433325</v>
      </c>
      <c r="C35" s="39">
        <f>IF(ISERROR(B35*3.6/1000000/'E Balans VL '!Z22*100),0,B35*3.6/1000000/'E Balans VL '!Z22*100)</f>
        <v>9.8305091500082379E-3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115.21946854100699</v>
      </c>
      <c r="C37" s="39">
        <f>IF(ISERROR(B37*3.6/1000000/'E Balans VL '!Z15*100),0,B37*3.6/1000000/'E Balans VL '!Z15*100)</f>
        <v>9.1325579115246187E-4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80.7615560329494</v>
      </c>
      <c r="C5" s="17">
        <f>'Eigen informatie GS &amp; warmtenet'!B60</f>
        <v>0</v>
      </c>
      <c r="D5" s="30">
        <f>IF(ISERROR(SUM(LB_lb_gas_kWh,LB_rest_gas_kWh)/1000),0,SUM(LB_lb_gas_kWh,LB_rest_gas_kWh)/1000)*0.902</f>
        <v>164.98947668652957</v>
      </c>
      <c r="E5" s="17">
        <f>B17*'E Balans VL '!I25/3.6*1000000/100</f>
        <v>2.3738288060720207</v>
      </c>
      <c r="F5" s="17">
        <f>B17*('E Balans VL '!L25/3.6*1000000+'E Balans VL '!N25/3.6*1000000)/100</f>
        <v>336.44827830784192</v>
      </c>
      <c r="G5" s="18"/>
      <c r="H5" s="17"/>
      <c r="I5" s="17"/>
      <c r="J5" s="17">
        <f>('E Balans VL '!D25+'E Balans VL '!E25)/3.6*1000000*landbouw!B17/100</f>
        <v>11.700615094905375</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80.7615560329494</v>
      </c>
      <c r="C8" s="21">
        <f>C5+C6</f>
        <v>0</v>
      </c>
      <c r="D8" s="21">
        <f>MAX((D5+D6),0)</f>
        <v>164.98947668652957</v>
      </c>
      <c r="E8" s="21">
        <f>MAX((E5+E6),0)</f>
        <v>2.3738288060720207</v>
      </c>
      <c r="F8" s="21">
        <f>MAX((F5+F6),0)</f>
        <v>336.44827830784192</v>
      </c>
      <c r="G8" s="21"/>
      <c r="H8" s="21"/>
      <c r="I8" s="21"/>
      <c r="J8" s="21">
        <f>MAX((J5+J6),0)</f>
        <v>11.700615094905375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0.21570307423855445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17.420515916596461</v>
      </c>
      <c r="C12" s="23">
        <f ca="1">C8*C10</f>
        <v>0</v>
      </c>
      <c r="D12" s="23">
        <f>D8*D10</f>
        <v>33.327874290678977</v>
      </c>
      <c r="E12" s="23">
        <f>E8*E10</f>
        <v>0.5388591389783487</v>
      </c>
      <c r="F12" s="23">
        <f>F8*F10</f>
        <v>89.831690308193799</v>
      </c>
      <c r="G12" s="23"/>
      <c r="H12" s="23"/>
      <c r="I12" s="23"/>
      <c r="J12" s="23">
        <f>J8*J10</f>
        <v>4.1420177435965027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1.146031818273022E-2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44.446705454203062</v>
      </c>
      <c r="C26" s="247">
        <f>B26*'GWP N2O_CH4'!B5</f>
        <v>933.3808145382643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4.4722413940995098</v>
      </c>
      <c r="C27" s="247">
        <f>B27*'GWP N2O_CH4'!B5</f>
        <v>93.917069276089705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0.59422239991895953</v>
      </c>
      <c r="C28" s="247">
        <f>B28*'GWP N2O_CH4'!B4</f>
        <v>184.20894397487746</v>
      </c>
      <c r="D28" s="50"/>
    </row>
    <row r="29" spans="1:4">
      <c r="A29" s="41" t="s">
        <v>277</v>
      </c>
      <c r="B29" s="247">
        <f>B34*'ha_N2O bodem landbouw'!B4</f>
        <v>2.7120612420914241</v>
      </c>
      <c r="C29" s="247">
        <f>B29*'GWP N2O_CH4'!B4</f>
        <v>840.73898504834142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6.1888302926643853E-4</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1.5004608519109748E-4</v>
      </c>
      <c r="C5" s="463" t="s">
        <v>211</v>
      </c>
      <c r="D5" s="448">
        <f>SUM(D6:D11)</f>
        <v>6.5813840021879805E-4</v>
      </c>
      <c r="E5" s="448">
        <f>SUM(E6:E11)</f>
        <v>8.5111021772906208E-4</v>
      </c>
      <c r="F5" s="461" t="s">
        <v>211</v>
      </c>
      <c r="G5" s="448">
        <f>SUM(G6:G11)</f>
        <v>0.22552623726379342</v>
      </c>
      <c r="H5" s="448">
        <f>SUM(H6:H11)</f>
        <v>7.333402424968849E-2</v>
      </c>
      <c r="I5" s="463" t="s">
        <v>211</v>
      </c>
      <c r="J5" s="463" t="s">
        <v>211</v>
      </c>
      <c r="K5" s="463" t="s">
        <v>211</v>
      </c>
      <c r="L5" s="463" t="s">
        <v>211</v>
      </c>
      <c r="M5" s="448">
        <f>SUM(M6:M11)</f>
        <v>1.5339593030727881E-2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6.087595479161549E-5</v>
      </c>
      <c r="C6" s="449"/>
      <c r="D6" s="892">
        <f>vkm_2011_GW_PW*SUMIFS(TableVerdeelsleutelVkm[CNG],TableVerdeelsleutelVkm[Voertuigtype],"Lichte voertuigen")*SUMIFS(TableECFTransport[EnergieConsumptieFactor (PJ per km)],TableECFTransport[Index],CONCATENATE($A6,"_CNG_CNG"))</f>
        <v>1.825929247549384E-4</v>
      </c>
      <c r="E6" s="892">
        <f>vkm_2011_GW_PW*SUMIFS(TableVerdeelsleutelVkm[LPG],TableVerdeelsleutelVkm[Voertuigtype],"Lichte voertuigen")*SUMIFS(TableECFTransport[EnergieConsumptieFactor (PJ per km)],TableECFTransport[Index],CONCATENATE($A6,"_LPG_LPG"))</f>
        <v>2.4944816339630299E-4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6.4495860172745098E-2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2.0767844178847614E-2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4.3807865644497389E-3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2.8678029373621935E-3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8.7404806125620902E-7</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1.6758472824152747E-4</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8.9170130399481999E-5</v>
      </c>
      <c r="C8" s="449"/>
      <c r="D8" s="451">
        <f>vkm_2011_NGW_PW*SUMIFS(TableVerdeelsleutelVkm[CNG],TableVerdeelsleutelVkm[Voertuigtype],"Lichte voertuigen")*SUMIFS(TableECFTransport[EnergieConsumptieFactor (PJ per km)],TableECFTransport[Index],CONCATENATE($A8,"_CNG_CNG"))</f>
        <v>4.7554547546385965E-4</v>
      </c>
      <c r="E8" s="451">
        <f>vkm_2011_NGW_PW*SUMIFS(TableVerdeelsleutelVkm[LPG],TableVerdeelsleutelVkm[Voertuigtype],"Lichte voertuigen")*SUMIFS(TableECFTransport[EnergieConsumptieFactor (PJ per km)],TableECFTransport[Index],CONCATENATE($A8,"_LPG_LPG"))</f>
        <v>6.0166205433275909E-4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0.1449675353998108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5.2561520053109233E-2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1.0020155138956741E-2</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1.3195038753875309E-2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3.7859696703805822E-6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7.7106659907987267E-4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41.67946810863819</v>
      </c>
      <c r="C14" s="21"/>
      <c r="D14" s="21">
        <f t="shared" ref="D14:M14" si="0">((D5)*10^9/3600)+D12</f>
        <v>182.81622228299946</v>
      </c>
      <c r="E14" s="21">
        <f t="shared" si="0"/>
        <v>236.41950492473947</v>
      </c>
      <c r="F14" s="21"/>
      <c r="G14" s="21">
        <f t="shared" si="0"/>
        <v>62646.177017720394</v>
      </c>
      <c r="H14" s="21">
        <f t="shared" si="0"/>
        <v>20370.562291580136</v>
      </c>
      <c r="I14" s="21"/>
      <c r="J14" s="21"/>
      <c r="K14" s="21"/>
      <c r="L14" s="21"/>
      <c r="M14" s="21">
        <f t="shared" si="0"/>
        <v>4260.998064091078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0.21570307423855445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8.9903894036610463</v>
      </c>
      <c r="C18" s="23"/>
      <c r="D18" s="23">
        <f t="shared" ref="D18:M18" si="1">D14*D16</f>
        <v>36.928876901165893</v>
      </c>
      <c r="E18" s="23">
        <f t="shared" si="1"/>
        <v>53.667227617915863</v>
      </c>
      <c r="F18" s="23"/>
      <c r="G18" s="23">
        <f t="shared" si="1"/>
        <v>16726.529263731347</v>
      </c>
      <c r="H18" s="23">
        <f t="shared" si="1"/>
        <v>5072.2700106034536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845</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845</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6.1237295872664877E-3</v>
      </c>
      <c r="H50" s="321">
        <f t="shared" si="2"/>
        <v>0</v>
      </c>
      <c r="I50" s="321">
        <f t="shared" si="2"/>
        <v>0</v>
      </c>
      <c r="J50" s="321">
        <f t="shared" si="2"/>
        <v>0</v>
      </c>
      <c r="K50" s="321">
        <f t="shared" si="2"/>
        <v>0</v>
      </c>
      <c r="L50" s="321">
        <f t="shared" si="2"/>
        <v>0</v>
      </c>
      <c r="M50" s="321">
        <f t="shared" si="2"/>
        <v>3.4780080688471507E-4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6.1237295872664877E-3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3.4780080688471507E-4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1701.0359964629133</v>
      </c>
      <c r="H54" s="21">
        <f t="shared" si="3"/>
        <v>0</v>
      </c>
      <c r="I54" s="21">
        <f t="shared" si="3"/>
        <v>0</v>
      </c>
      <c r="J54" s="21">
        <f t="shared" si="3"/>
        <v>0</v>
      </c>
      <c r="K54" s="21">
        <f t="shared" si="3"/>
        <v>0</v>
      </c>
      <c r="L54" s="21">
        <f t="shared" si="3"/>
        <v>0</v>
      </c>
      <c r="M54" s="21">
        <f t="shared" si="3"/>
        <v>96.611335245754191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0.21570307423855445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454.1766110555979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13" t="s">
        <v>221</v>
      </c>
      <c r="B2" s="1113"/>
      <c r="C2" s="1113"/>
      <c r="D2" s="59"/>
      <c r="E2" s="59"/>
      <c r="F2" s="59"/>
      <c r="G2" s="59"/>
      <c r="H2" s="60"/>
      <c r="I2" s="60"/>
      <c r="J2" s="61"/>
      <c r="K2" s="61"/>
      <c r="L2" s="60"/>
      <c r="M2" s="60"/>
      <c r="N2" s="60"/>
      <c r="O2" s="60"/>
      <c r="P2" s="60"/>
      <c r="Q2" s="60"/>
      <c r="R2" s="60"/>
    </row>
    <row r="3" spans="1:19">
      <c r="A3" s="1114"/>
      <c r="B3" s="1114"/>
      <c r="C3" s="1114"/>
      <c r="D3" s="1114"/>
      <c r="E3" s="1114"/>
      <c r="F3" s="1114"/>
      <c r="G3" s="1114"/>
      <c r="H3" s="1114"/>
      <c r="I3" s="1114"/>
      <c r="J3" s="1114"/>
      <c r="K3" s="1114"/>
      <c r="L3" s="1114"/>
      <c r="M3" s="1114"/>
      <c r="N3" s="1114"/>
      <c r="O3" s="1114"/>
      <c r="P3" s="1114"/>
      <c r="Q3" s="1114"/>
      <c r="R3" s="1114"/>
    </row>
    <row r="4" spans="1:19" ht="15.75" thickBot="1">
      <c r="A4" s="472"/>
      <c r="B4" s="472"/>
      <c r="C4" s="63"/>
      <c r="D4" s="63"/>
      <c r="E4" s="63"/>
      <c r="F4" s="63"/>
      <c r="G4" s="63"/>
      <c r="H4" s="63"/>
      <c r="I4" s="63"/>
      <c r="J4" s="63"/>
      <c r="K4" s="63"/>
      <c r="L4" s="63"/>
      <c r="M4" s="63"/>
      <c r="N4" s="63"/>
      <c r="O4" s="63"/>
      <c r="P4" s="63"/>
      <c r="Q4" s="63"/>
      <c r="R4" s="63"/>
    </row>
    <row r="5" spans="1:19" ht="16.5" thickBot="1">
      <c r="A5" s="1115" t="s">
        <v>222</v>
      </c>
      <c r="B5" s="801"/>
      <c r="C5" s="1118" t="s">
        <v>343</v>
      </c>
      <c r="D5" s="1119"/>
      <c r="E5" s="1119"/>
      <c r="F5" s="1119"/>
      <c r="G5" s="1119"/>
      <c r="H5" s="1119"/>
      <c r="I5" s="1119"/>
      <c r="J5" s="1119"/>
      <c r="K5" s="1119"/>
      <c r="L5" s="1119"/>
      <c r="M5" s="1119"/>
      <c r="N5" s="1119"/>
      <c r="O5" s="1119"/>
      <c r="P5" s="1119"/>
      <c r="Q5" s="1119"/>
      <c r="R5" s="1120"/>
    </row>
    <row r="6" spans="1:19" ht="16.5" thickTop="1">
      <c r="A6" s="1116"/>
      <c r="B6" s="802"/>
      <c r="C6" s="1121" t="s">
        <v>21</v>
      </c>
      <c r="D6" s="1123" t="s">
        <v>196</v>
      </c>
      <c r="E6" s="1125" t="s">
        <v>197</v>
      </c>
      <c r="F6" s="1126"/>
      <c r="G6" s="1126"/>
      <c r="H6" s="1126"/>
      <c r="I6" s="1126"/>
      <c r="J6" s="1126"/>
      <c r="K6" s="1126"/>
      <c r="L6" s="1127"/>
      <c r="M6" s="1125" t="s">
        <v>198</v>
      </c>
      <c r="N6" s="1126"/>
      <c r="O6" s="1126"/>
      <c r="P6" s="1126"/>
      <c r="Q6" s="1126"/>
      <c r="R6" s="1128" t="s">
        <v>116</v>
      </c>
    </row>
    <row r="7" spans="1:19" ht="45.75" thickBot="1">
      <c r="A7" s="1117"/>
      <c r="B7" s="803"/>
      <c r="C7" s="1122"/>
      <c r="D7" s="1124"/>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29"/>
    </row>
    <row r="8" spans="1:19" ht="18.75" customHeight="1" thickTop="1">
      <c r="A8" s="808" t="s">
        <v>344</v>
      </c>
      <c r="B8" s="813"/>
      <c r="C8" s="1110"/>
      <c r="D8" s="1110"/>
      <c r="E8" s="1110"/>
      <c r="F8" s="1110"/>
      <c r="G8" s="1110"/>
      <c r="H8" s="1110"/>
      <c r="I8" s="1110"/>
      <c r="J8" s="1110"/>
      <c r="K8" s="1110"/>
      <c r="L8" s="1110"/>
      <c r="M8" s="1110"/>
      <c r="N8" s="1110"/>
      <c r="O8" s="1110"/>
      <c r="P8" s="1110"/>
      <c r="Q8" s="1110"/>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17697.968884669113</v>
      </c>
      <c r="D10" s="1013">
        <f ca="1">tertiair!C16</f>
        <v>0</v>
      </c>
      <c r="E10" s="1013">
        <f ca="1">tertiair!D16</f>
        <v>33474.81711535799</v>
      </c>
      <c r="F10" s="1013">
        <f>tertiair!E16</f>
        <v>192.54721321937458</v>
      </c>
      <c r="G10" s="1013">
        <f ca="1">tertiair!F16</f>
        <v>2821.9785116163598</v>
      </c>
      <c r="H10" s="1013">
        <f>tertiair!G16</f>
        <v>0</v>
      </c>
      <c r="I10" s="1013">
        <f>tertiair!H16</f>
        <v>0</v>
      </c>
      <c r="J10" s="1013">
        <f>tertiair!I16</f>
        <v>0</v>
      </c>
      <c r="K10" s="1013">
        <f>tertiair!J16</f>
        <v>2.5179586245570838E-2</v>
      </c>
      <c r="L10" s="1013">
        <f>tertiair!K16</f>
        <v>0</v>
      </c>
      <c r="M10" s="1013">
        <f ca="1">tertiair!L16</f>
        <v>0</v>
      </c>
      <c r="N10" s="1013">
        <f>tertiair!M16</f>
        <v>0</v>
      </c>
      <c r="O10" s="1013">
        <f ca="1">tertiair!N16</f>
        <v>1010.4302984316793</v>
      </c>
      <c r="P10" s="1013">
        <f>tertiair!O16</f>
        <v>1.5633333333333335</v>
      </c>
      <c r="Q10" s="1014">
        <f>tertiair!P16</f>
        <v>0</v>
      </c>
      <c r="R10" s="700">
        <f ca="1">SUM(C10:Q10)</f>
        <v>55199.330536214096</v>
      </c>
      <c r="S10" s="67"/>
    </row>
    <row r="11" spans="1:19" s="473" customFormat="1">
      <c r="A11" s="809" t="s">
        <v>225</v>
      </c>
      <c r="B11" s="814"/>
      <c r="C11" s="1013">
        <f>huishoudens!B8</f>
        <v>33241.712817410058</v>
      </c>
      <c r="D11" s="1013">
        <f>huishoudens!C8</f>
        <v>0</v>
      </c>
      <c r="E11" s="1013">
        <f>huishoudens!D8</f>
        <v>132234.04090894302</v>
      </c>
      <c r="F11" s="1013">
        <f>huishoudens!E8</f>
        <v>946.10916425958487</v>
      </c>
      <c r="G11" s="1013">
        <f>huishoudens!F8</f>
        <v>10220.695566061728</v>
      </c>
      <c r="H11" s="1013">
        <f>huishoudens!G8</f>
        <v>0</v>
      </c>
      <c r="I11" s="1013">
        <f>huishoudens!H8</f>
        <v>0</v>
      </c>
      <c r="J11" s="1013">
        <f>huishoudens!I8</f>
        <v>0</v>
      </c>
      <c r="K11" s="1013">
        <f>huishoudens!J8</f>
        <v>0</v>
      </c>
      <c r="L11" s="1013">
        <f>huishoudens!K8</f>
        <v>0</v>
      </c>
      <c r="M11" s="1013">
        <f>huishoudens!L8</f>
        <v>0</v>
      </c>
      <c r="N11" s="1013">
        <f>huishoudens!M8</f>
        <v>0</v>
      </c>
      <c r="O11" s="1013">
        <f>huishoudens!N8</f>
        <v>7523.3402317032014</v>
      </c>
      <c r="P11" s="1013">
        <f>huishoudens!O8</f>
        <v>89.11</v>
      </c>
      <c r="Q11" s="1014">
        <f>huishoudens!P8</f>
        <v>209.73333333333335</v>
      </c>
      <c r="R11" s="700">
        <f>SUM(C11:Q11)</f>
        <v>184464.7420217109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1792.6530161558924</v>
      </c>
      <c r="D13" s="1013">
        <f>industrie!C18</f>
        <v>0</v>
      </c>
      <c r="E13" s="1013">
        <f>industrie!D18</f>
        <v>2686.1088882581262</v>
      </c>
      <c r="F13" s="1013">
        <f>industrie!E18</f>
        <v>458.48566507218686</v>
      </c>
      <c r="G13" s="1013">
        <f>industrie!F18</f>
        <v>1272.2150114767194</v>
      </c>
      <c r="H13" s="1013">
        <f>industrie!G18</f>
        <v>0</v>
      </c>
      <c r="I13" s="1013">
        <f>industrie!H18</f>
        <v>0</v>
      </c>
      <c r="J13" s="1013">
        <f>industrie!I18</f>
        <v>0</v>
      </c>
      <c r="K13" s="1013">
        <f>industrie!J18</f>
        <v>0.42093622600776509</v>
      </c>
      <c r="L13" s="1013">
        <f>industrie!K18</f>
        <v>0</v>
      </c>
      <c r="M13" s="1013">
        <f>industrie!L18</f>
        <v>0</v>
      </c>
      <c r="N13" s="1013">
        <f>industrie!M18</f>
        <v>0</v>
      </c>
      <c r="O13" s="1013">
        <f>industrie!N18</f>
        <v>695.97494335843749</v>
      </c>
      <c r="P13" s="1013">
        <f>industrie!O18</f>
        <v>0</v>
      </c>
      <c r="Q13" s="1014">
        <f>industrie!P18</f>
        <v>0</v>
      </c>
      <c r="R13" s="700">
        <f>SUM(C13:Q13)</f>
        <v>6905.8584605473698</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52732.334718235063</v>
      </c>
      <c r="D16" s="732">
        <f t="shared" ref="D16:R16" ca="1" si="0">SUM(D9:D15)</f>
        <v>0</v>
      </c>
      <c r="E16" s="732">
        <f t="shared" ca="1" si="0"/>
        <v>168394.96691255915</v>
      </c>
      <c r="F16" s="732">
        <f t="shared" si="0"/>
        <v>1597.1420425511465</v>
      </c>
      <c r="G16" s="732">
        <f t="shared" ca="1" si="0"/>
        <v>14314.889089154807</v>
      </c>
      <c r="H16" s="732">
        <f t="shared" si="0"/>
        <v>0</v>
      </c>
      <c r="I16" s="732">
        <f t="shared" si="0"/>
        <v>0</v>
      </c>
      <c r="J16" s="732">
        <f t="shared" si="0"/>
        <v>0</v>
      </c>
      <c r="K16" s="732">
        <f t="shared" si="0"/>
        <v>0.44611581225333591</v>
      </c>
      <c r="L16" s="732">
        <f t="shared" si="0"/>
        <v>0</v>
      </c>
      <c r="M16" s="732">
        <f t="shared" ca="1" si="0"/>
        <v>0</v>
      </c>
      <c r="N16" s="732">
        <f t="shared" si="0"/>
        <v>0</v>
      </c>
      <c r="O16" s="732">
        <f t="shared" ca="1" si="0"/>
        <v>9229.7454734933199</v>
      </c>
      <c r="P16" s="732">
        <f t="shared" si="0"/>
        <v>90.673333333333332</v>
      </c>
      <c r="Q16" s="732">
        <f t="shared" si="0"/>
        <v>209.73333333333335</v>
      </c>
      <c r="R16" s="732">
        <f t="shared" ca="1" si="0"/>
        <v>246569.93101847239</v>
      </c>
      <c r="S16" s="67"/>
    </row>
    <row r="17" spans="1:19" s="473" customFormat="1" ht="15.75">
      <c r="A17" s="811" t="s">
        <v>227</v>
      </c>
      <c r="B17" s="736"/>
      <c r="C17" s="1111"/>
      <c r="D17" s="1111"/>
      <c r="E17" s="1111"/>
      <c r="F17" s="1111"/>
      <c r="G17" s="1111"/>
      <c r="H17" s="1111"/>
      <c r="I17" s="1111"/>
      <c r="J17" s="1111"/>
      <c r="K17" s="1111"/>
      <c r="L17" s="1111"/>
      <c r="M17" s="1111"/>
      <c r="N17" s="1111"/>
      <c r="O17" s="1111"/>
      <c r="P17" s="1111"/>
      <c r="Q17" s="1111"/>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1701.0359964629133</v>
      </c>
      <c r="I19" s="1013">
        <f>transport!H54</f>
        <v>0</v>
      </c>
      <c r="J19" s="1013">
        <f>transport!I54</f>
        <v>0</v>
      </c>
      <c r="K19" s="1013">
        <f>transport!J54</f>
        <v>0</v>
      </c>
      <c r="L19" s="1013">
        <f>transport!K54</f>
        <v>0</v>
      </c>
      <c r="M19" s="1013">
        <f>transport!L54</f>
        <v>0</v>
      </c>
      <c r="N19" s="1013">
        <f>transport!M54</f>
        <v>96.611335245754191</v>
      </c>
      <c r="O19" s="1013">
        <f>transport!N54</f>
        <v>0</v>
      </c>
      <c r="P19" s="1013">
        <f>transport!O54</f>
        <v>0</v>
      </c>
      <c r="Q19" s="1014">
        <f>transport!P54</f>
        <v>0</v>
      </c>
      <c r="R19" s="700">
        <f>SUM(C19:Q19)</f>
        <v>1797.6473317086675</v>
      </c>
      <c r="S19" s="67"/>
    </row>
    <row r="20" spans="1:19" s="473" customFormat="1">
      <c r="A20" s="809" t="s">
        <v>307</v>
      </c>
      <c r="B20" s="814"/>
      <c r="C20" s="1013">
        <f>transport!B14</f>
        <v>41.67946810863819</v>
      </c>
      <c r="D20" s="1013">
        <f>transport!C14</f>
        <v>0</v>
      </c>
      <c r="E20" s="1013">
        <f>transport!D14</f>
        <v>182.81622228299946</v>
      </c>
      <c r="F20" s="1013">
        <f>transport!E14</f>
        <v>236.41950492473947</v>
      </c>
      <c r="G20" s="1013">
        <f>transport!F14</f>
        <v>0</v>
      </c>
      <c r="H20" s="1013">
        <f>transport!G14</f>
        <v>62646.177017720394</v>
      </c>
      <c r="I20" s="1013">
        <f>transport!H14</f>
        <v>20370.562291580136</v>
      </c>
      <c r="J20" s="1013">
        <f>transport!I14</f>
        <v>0</v>
      </c>
      <c r="K20" s="1013">
        <f>transport!J14</f>
        <v>0</v>
      </c>
      <c r="L20" s="1013">
        <f>transport!K14</f>
        <v>0</v>
      </c>
      <c r="M20" s="1013">
        <f>transport!L14</f>
        <v>0</v>
      </c>
      <c r="N20" s="1013">
        <f>transport!M14</f>
        <v>4260.998064091078</v>
      </c>
      <c r="O20" s="1013">
        <f>transport!N14</f>
        <v>0</v>
      </c>
      <c r="P20" s="1013">
        <f>transport!O14</f>
        <v>0</v>
      </c>
      <c r="Q20" s="1014">
        <f>transport!P14</f>
        <v>0</v>
      </c>
      <c r="R20" s="700">
        <f>SUM(C20:Q20)</f>
        <v>87738.652568707985</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41.67946810863819</v>
      </c>
      <c r="D22" s="812">
        <f t="shared" ref="D22:R22" si="1">SUM(D18:D21)</f>
        <v>0</v>
      </c>
      <c r="E22" s="812">
        <f t="shared" si="1"/>
        <v>182.81622228299946</v>
      </c>
      <c r="F22" s="812">
        <f t="shared" si="1"/>
        <v>236.41950492473947</v>
      </c>
      <c r="G22" s="812">
        <f t="shared" si="1"/>
        <v>0</v>
      </c>
      <c r="H22" s="812">
        <f t="shared" si="1"/>
        <v>64347.213014183304</v>
      </c>
      <c r="I22" s="812">
        <f t="shared" si="1"/>
        <v>20370.562291580136</v>
      </c>
      <c r="J22" s="812">
        <f t="shared" si="1"/>
        <v>0</v>
      </c>
      <c r="K22" s="812">
        <f t="shared" si="1"/>
        <v>0</v>
      </c>
      <c r="L22" s="812">
        <f t="shared" si="1"/>
        <v>0</v>
      </c>
      <c r="M22" s="812">
        <f t="shared" si="1"/>
        <v>0</v>
      </c>
      <c r="N22" s="812">
        <f t="shared" si="1"/>
        <v>4357.6093993368322</v>
      </c>
      <c r="O22" s="812">
        <f t="shared" si="1"/>
        <v>0</v>
      </c>
      <c r="P22" s="812">
        <f t="shared" si="1"/>
        <v>0</v>
      </c>
      <c r="Q22" s="812">
        <f t="shared" si="1"/>
        <v>0</v>
      </c>
      <c r="R22" s="812">
        <f t="shared" si="1"/>
        <v>89536.299900416649</v>
      </c>
      <c r="S22" s="67"/>
    </row>
    <row r="23" spans="1:19" s="473" customFormat="1" ht="15.75">
      <c r="A23" s="811" t="s">
        <v>237</v>
      </c>
      <c r="B23" s="736"/>
      <c r="C23" s="1111"/>
      <c r="D23" s="1111"/>
      <c r="E23" s="1111"/>
      <c r="F23" s="1111"/>
      <c r="G23" s="1111"/>
      <c r="H23" s="1111"/>
      <c r="I23" s="1111"/>
      <c r="J23" s="1111"/>
      <c r="K23" s="1111"/>
      <c r="L23" s="1111"/>
      <c r="M23" s="1111"/>
      <c r="N23" s="1111"/>
      <c r="O23" s="1111"/>
      <c r="P23" s="1111"/>
      <c r="Q23" s="1111"/>
      <c r="R23" s="702"/>
      <c r="S23" s="67"/>
    </row>
    <row r="24" spans="1:19" s="473" customFormat="1">
      <c r="A24" s="809" t="s">
        <v>633</v>
      </c>
      <c r="B24" s="814"/>
      <c r="C24" s="1013">
        <f>+landbouw!B8</f>
        <v>80.7615560329494</v>
      </c>
      <c r="D24" s="1013">
        <f>+landbouw!C8</f>
        <v>0</v>
      </c>
      <c r="E24" s="1013">
        <f>+landbouw!D8</f>
        <v>164.98947668652957</v>
      </c>
      <c r="F24" s="1013">
        <f>+landbouw!E8</f>
        <v>2.3738288060720207</v>
      </c>
      <c r="G24" s="1013">
        <f>+landbouw!F8</f>
        <v>336.44827830784192</v>
      </c>
      <c r="H24" s="1013">
        <f>+landbouw!G8</f>
        <v>0</v>
      </c>
      <c r="I24" s="1013">
        <f>+landbouw!H8</f>
        <v>0</v>
      </c>
      <c r="J24" s="1013">
        <f>+landbouw!I8</f>
        <v>0</v>
      </c>
      <c r="K24" s="1013">
        <f>+landbouw!J8</f>
        <v>11.700615094905375</v>
      </c>
      <c r="L24" s="1013">
        <f>+landbouw!K8</f>
        <v>0</v>
      </c>
      <c r="M24" s="1013">
        <f>+landbouw!L8</f>
        <v>0</v>
      </c>
      <c r="N24" s="1013">
        <f>+landbouw!M8</f>
        <v>0</v>
      </c>
      <c r="O24" s="1013">
        <f>+landbouw!N8</f>
        <v>0</v>
      </c>
      <c r="P24" s="1013">
        <f>+landbouw!O8</f>
        <v>0</v>
      </c>
      <c r="Q24" s="1014">
        <f>+landbouw!P8</f>
        <v>0</v>
      </c>
      <c r="R24" s="700">
        <f>SUM(C24:Q24)</f>
        <v>596.27375492829833</v>
      </c>
      <c r="S24" s="67"/>
    </row>
    <row r="25" spans="1:19" s="473" customFormat="1" ht="15" thickBot="1">
      <c r="A25" s="831" t="s">
        <v>836</v>
      </c>
      <c r="B25" s="1016"/>
      <c r="C25" s="1017">
        <f>IF(Onbekend_ele_kWh="---",0,Onbekend_ele_kWh)/1000+IF(REST_rest_ele_kWh="---",0,REST_rest_ele_kWh)/1000</f>
        <v>1976.3033826549599</v>
      </c>
      <c r="D25" s="1017"/>
      <c r="E25" s="1017">
        <f>IF(onbekend_gas_kWh="---",0,onbekend_gas_kWh)/1000+IF(REST_rest_gas_kWh="---",0,REST_rest_gas_kWh)/1000</f>
        <v>8723.6168824162196</v>
      </c>
      <c r="F25" s="1017"/>
      <c r="G25" s="1017"/>
      <c r="H25" s="1017"/>
      <c r="I25" s="1017"/>
      <c r="J25" s="1017"/>
      <c r="K25" s="1017"/>
      <c r="L25" s="1017"/>
      <c r="M25" s="1017"/>
      <c r="N25" s="1017"/>
      <c r="O25" s="1017"/>
      <c r="P25" s="1017"/>
      <c r="Q25" s="1018"/>
      <c r="R25" s="700">
        <f>SUM(C25:Q25)</f>
        <v>10699.92026507118</v>
      </c>
      <c r="S25" s="67"/>
    </row>
    <row r="26" spans="1:19" s="473" customFormat="1" ht="15.75" thickBot="1">
      <c r="A26" s="705" t="s">
        <v>837</v>
      </c>
      <c r="B26" s="817"/>
      <c r="C26" s="812">
        <f>SUM(C24:C25)</f>
        <v>2057.0649386879095</v>
      </c>
      <c r="D26" s="812">
        <f t="shared" ref="D26:R26" si="2">SUM(D24:D25)</f>
        <v>0</v>
      </c>
      <c r="E26" s="812">
        <f t="shared" si="2"/>
        <v>8888.6063591027487</v>
      </c>
      <c r="F26" s="812">
        <f t="shared" si="2"/>
        <v>2.3738288060720207</v>
      </c>
      <c r="G26" s="812">
        <f t="shared" si="2"/>
        <v>336.44827830784192</v>
      </c>
      <c r="H26" s="812">
        <f t="shared" si="2"/>
        <v>0</v>
      </c>
      <c r="I26" s="812">
        <f t="shared" si="2"/>
        <v>0</v>
      </c>
      <c r="J26" s="812">
        <f t="shared" si="2"/>
        <v>0</v>
      </c>
      <c r="K26" s="812">
        <f t="shared" si="2"/>
        <v>11.700615094905375</v>
      </c>
      <c r="L26" s="812">
        <f t="shared" si="2"/>
        <v>0</v>
      </c>
      <c r="M26" s="812">
        <f t="shared" si="2"/>
        <v>0</v>
      </c>
      <c r="N26" s="812">
        <f t="shared" si="2"/>
        <v>0</v>
      </c>
      <c r="O26" s="812">
        <f t="shared" si="2"/>
        <v>0</v>
      </c>
      <c r="P26" s="812">
        <f t="shared" si="2"/>
        <v>0</v>
      </c>
      <c r="Q26" s="812">
        <f t="shared" si="2"/>
        <v>0</v>
      </c>
      <c r="R26" s="812">
        <f t="shared" si="2"/>
        <v>11296.194019999479</v>
      </c>
      <c r="S26" s="67"/>
    </row>
    <row r="27" spans="1:19" s="473" customFormat="1" ht="17.25" thickTop="1" thickBot="1">
      <c r="A27" s="706" t="s">
        <v>116</v>
      </c>
      <c r="B27" s="805"/>
      <c r="C27" s="707">
        <f ca="1">C22+C16+C26</f>
        <v>54831.079125031611</v>
      </c>
      <c r="D27" s="707">
        <f t="shared" ref="D27:R27" ca="1" si="3">D22+D16+D26</f>
        <v>0</v>
      </c>
      <c r="E27" s="707">
        <f t="shared" ca="1" si="3"/>
        <v>177466.38949394488</v>
      </c>
      <c r="F27" s="707">
        <f t="shared" si="3"/>
        <v>1835.9353762819578</v>
      </c>
      <c r="G27" s="707">
        <f t="shared" ca="1" si="3"/>
        <v>14651.337367462649</v>
      </c>
      <c r="H27" s="707">
        <f t="shared" si="3"/>
        <v>64347.213014183304</v>
      </c>
      <c r="I27" s="707">
        <f t="shared" si="3"/>
        <v>20370.562291580136</v>
      </c>
      <c r="J27" s="707">
        <f t="shared" si="3"/>
        <v>0</v>
      </c>
      <c r="K27" s="707">
        <f t="shared" si="3"/>
        <v>12.146730907158711</v>
      </c>
      <c r="L27" s="707">
        <f t="shared" si="3"/>
        <v>0</v>
      </c>
      <c r="M27" s="707">
        <f t="shared" ca="1" si="3"/>
        <v>0</v>
      </c>
      <c r="N27" s="707">
        <f t="shared" si="3"/>
        <v>4357.6093993368322</v>
      </c>
      <c r="O27" s="707">
        <f t="shared" ca="1" si="3"/>
        <v>9229.7454734933199</v>
      </c>
      <c r="P27" s="707">
        <f t="shared" si="3"/>
        <v>90.673333333333332</v>
      </c>
      <c r="Q27" s="707">
        <f t="shared" si="3"/>
        <v>209.73333333333335</v>
      </c>
      <c r="R27" s="707">
        <f t="shared" ca="1" si="3"/>
        <v>347402.42493888852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12"/>
      <c r="B31" s="1112"/>
      <c r="C31" s="111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0"/>
      <c r="B33" s="1090"/>
      <c r="C33" s="1090"/>
      <c r="D33" s="1090"/>
      <c r="E33" s="1090"/>
      <c r="F33" s="1090"/>
      <c r="G33" s="1090"/>
      <c r="H33" s="1090"/>
      <c r="I33" s="1090"/>
      <c r="J33" s="1090"/>
      <c r="K33" s="1090"/>
      <c r="L33" s="1090"/>
      <c r="M33" s="1090"/>
      <c r="N33" s="1090"/>
      <c r="O33" s="1090"/>
      <c r="P33" s="1090"/>
      <c r="Q33" s="1090"/>
      <c r="R33" s="1090"/>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30"/>
      <c r="B35" s="819"/>
      <c r="C35" s="1132" t="s">
        <v>347</v>
      </c>
      <c r="D35" s="1133"/>
      <c r="E35" s="1133"/>
      <c r="F35" s="1133"/>
      <c r="G35" s="1133"/>
      <c r="H35" s="1133"/>
      <c r="I35" s="1133"/>
      <c r="J35" s="1133"/>
      <c r="K35" s="1133"/>
      <c r="L35" s="1133"/>
      <c r="M35" s="1133"/>
      <c r="N35" s="1133"/>
      <c r="O35" s="1133"/>
      <c r="P35" s="1133"/>
      <c r="Q35" s="1133"/>
      <c r="R35" s="1134"/>
    </row>
    <row r="36" spans="1:18" ht="16.5" thickTop="1">
      <c r="A36" s="1131"/>
      <c r="B36" s="820"/>
      <c r="C36" s="1135" t="s">
        <v>21</v>
      </c>
      <c r="D36" s="1137" t="s">
        <v>232</v>
      </c>
      <c r="E36" s="1139" t="s">
        <v>197</v>
      </c>
      <c r="F36" s="1140"/>
      <c r="G36" s="1140"/>
      <c r="H36" s="1140"/>
      <c r="I36" s="1140"/>
      <c r="J36" s="1140"/>
      <c r="K36" s="1140"/>
      <c r="L36" s="1141"/>
      <c r="M36" s="1139" t="s">
        <v>198</v>
      </c>
      <c r="N36" s="1140"/>
      <c r="O36" s="1140"/>
      <c r="P36" s="1140"/>
      <c r="Q36" s="1140"/>
      <c r="R36" s="1091" t="s">
        <v>116</v>
      </c>
    </row>
    <row r="37" spans="1:18" ht="45.75" thickBot="1">
      <c r="A37" s="1131"/>
      <c r="B37" s="820"/>
      <c r="C37" s="1136"/>
      <c r="D37" s="1138"/>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093"/>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3817.5062962014085</v>
      </c>
      <c r="D40" s="1013">
        <f ca="1">tertiair!C20</f>
        <v>0</v>
      </c>
      <c r="E40" s="1013">
        <f ca="1">tertiair!D20</f>
        <v>6761.913057302314</v>
      </c>
      <c r="F40" s="1013">
        <f>tertiair!E20</f>
        <v>43.708217400798034</v>
      </c>
      <c r="G40" s="1013">
        <f ca="1">tertiair!F20</f>
        <v>753.46826260156809</v>
      </c>
      <c r="H40" s="1013">
        <f>tertiair!G20</f>
        <v>0</v>
      </c>
      <c r="I40" s="1013">
        <f>tertiair!H20</f>
        <v>0</v>
      </c>
      <c r="J40" s="1013">
        <f>tertiair!I20</f>
        <v>0</v>
      </c>
      <c r="K40" s="1013">
        <f>tertiair!J20</f>
        <v>8.9135735309320771E-3</v>
      </c>
      <c r="L40" s="1013">
        <f>tertiair!K20</f>
        <v>0</v>
      </c>
      <c r="M40" s="1013">
        <f ca="1">tertiair!L20</f>
        <v>0</v>
      </c>
      <c r="N40" s="1013">
        <f>tertiair!M20</f>
        <v>0</v>
      </c>
      <c r="O40" s="1013">
        <f ca="1">tertiair!N20</f>
        <v>0</v>
      </c>
      <c r="P40" s="1013">
        <f>tertiair!O20</f>
        <v>0</v>
      </c>
      <c r="Q40" s="774">
        <f>tertiair!P20</f>
        <v>0</v>
      </c>
      <c r="R40" s="850">
        <f t="shared" ca="1" si="4"/>
        <v>11376.604747079618</v>
      </c>
    </row>
    <row r="41" spans="1:18">
      <c r="A41" s="822" t="s">
        <v>225</v>
      </c>
      <c r="B41" s="829"/>
      <c r="C41" s="1013">
        <f ca="1">huishoudens!B12</f>
        <v>7170.3396476705084</v>
      </c>
      <c r="D41" s="1013">
        <f ca="1">huishoudens!C12</f>
        <v>0</v>
      </c>
      <c r="E41" s="1013">
        <f>huishoudens!D12</f>
        <v>26711.276263606491</v>
      </c>
      <c r="F41" s="1013">
        <f>huishoudens!E12</f>
        <v>214.76678028692578</v>
      </c>
      <c r="G41" s="1013">
        <f>huishoudens!F12</f>
        <v>2728.9257161384817</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36825.308407702403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386.68076662784301</v>
      </c>
      <c r="D43" s="1013">
        <f ca="1">industrie!C22</f>
        <v>0</v>
      </c>
      <c r="E43" s="1013">
        <f>industrie!D22</f>
        <v>542.59399542814151</v>
      </c>
      <c r="F43" s="1013">
        <f>industrie!E22</f>
        <v>104.07624597138643</v>
      </c>
      <c r="G43" s="1013">
        <f>industrie!F22</f>
        <v>339.68140806428408</v>
      </c>
      <c r="H43" s="1013">
        <f>industrie!G22</f>
        <v>0</v>
      </c>
      <c r="I43" s="1013">
        <f>industrie!H22</f>
        <v>0</v>
      </c>
      <c r="J43" s="1013">
        <f>industrie!I22</f>
        <v>0</v>
      </c>
      <c r="K43" s="1013">
        <f>industrie!J22</f>
        <v>0.14901142400674883</v>
      </c>
      <c r="L43" s="1013">
        <f>industrie!K22</f>
        <v>0</v>
      </c>
      <c r="M43" s="1013">
        <f>industrie!L22</f>
        <v>0</v>
      </c>
      <c r="N43" s="1013">
        <f>industrie!M22</f>
        <v>0</v>
      </c>
      <c r="O43" s="1013">
        <f>industrie!N22</f>
        <v>0</v>
      </c>
      <c r="P43" s="1013">
        <f>industrie!O22</f>
        <v>0</v>
      </c>
      <c r="Q43" s="774">
        <f>industrie!P22</f>
        <v>0</v>
      </c>
      <c r="R43" s="849">
        <f t="shared" ca="1" si="4"/>
        <v>1373.1814275156619</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11374.52671049976</v>
      </c>
      <c r="D46" s="732">
        <f t="shared" ref="D46:Q46" ca="1" si="5">SUM(D39:D45)</f>
        <v>0</v>
      </c>
      <c r="E46" s="732">
        <f t="shared" ca="1" si="5"/>
        <v>34015.783316336943</v>
      </c>
      <c r="F46" s="732">
        <f t="shared" si="5"/>
        <v>362.55124365911024</v>
      </c>
      <c r="G46" s="732">
        <f t="shared" ca="1" si="5"/>
        <v>3822.0753868043334</v>
      </c>
      <c r="H46" s="732">
        <f t="shared" si="5"/>
        <v>0</v>
      </c>
      <c r="I46" s="732">
        <f t="shared" si="5"/>
        <v>0</v>
      </c>
      <c r="J46" s="732">
        <f t="shared" si="5"/>
        <v>0</v>
      </c>
      <c r="K46" s="732">
        <f t="shared" si="5"/>
        <v>0.15792499753768091</v>
      </c>
      <c r="L46" s="732">
        <f t="shared" si="5"/>
        <v>0</v>
      </c>
      <c r="M46" s="732">
        <f t="shared" ca="1" si="5"/>
        <v>0</v>
      </c>
      <c r="N46" s="732">
        <f t="shared" si="5"/>
        <v>0</v>
      </c>
      <c r="O46" s="732">
        <f t="shared" ca="1" si="5"/>
        <v>0</v>
      </c>
      <c r="P46" s="732">
        <f t="shared" si="5"/>
        <v>0</v>
      </c>
      <c r="Q46" s="732">
        <f t="shared" si="5"/>
        <v>0</v>
      </c>
      <c r="R46" s="732">
        <f ca="1">SUM(R39:R45)</f>
        <v>49575.094582297686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454.1766110555979</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454.1766110555979</v>
      </c>
    </row>
    <row r="50" spans="1:18">
      <c r="A50" s="825" t="s">
        <v>307</v>
      </c>
      <c r="B50" s="835"/>
      <c r="C50" s="703">
        <f ca="1">transport!B18</f>
        <v>8.9903894036610463</v>
      </c>
      <c r="D50" s="703">
        <f>transport!C18</f>
        <v>0</v>
      </c>
      <c r="E50" s="703">
        <f>transport!D18</f>
        <v>36.928876901165893</v>
      </c>
      <c r="F50" s="703">
        <f>transport!E18</f>
        <v>53.667227617915863</v>
      </c>
      <c r="G50" s="703">
        <f>transport!F18</f>
        <v>0</v>
      </c>
      <c r="H50" s="703">
        <f>transport!G18</f>
        <v>16726.529263731347</v>
      </c>
      <c r="I50" s="703">
        <f>transport!H18</f>
        <v>5072.2700106034536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21898.385768257544</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8.9903894036610463</v>
      </c>
      <c r="D52" s="732">
        <f t="shared" ref="D52:Q52" ca="1" si="6">SUM(D48:D51)</f>
        <v>0</v>
      </c>
      <c r="E52" s="732">
        <f t="shared" si="6"/>
        <v>36.928876901165893</v>
      </c>
      <c r="F52" s="732">
        <f t="shared" si="6"/>
        <v>53.667227617915863</v>
      </c>
      <c r="G52" s="732">
        <f t="shared" si="6"/>
        <v>0</v>
      </c>
      <c r="H52" s="732">
        <f t="shared" si="6"/>
        <v>17180.705874786945</v>
      </c>
      <c r="I52" s="732">
        <f t="shared" si="6"/>
        <v>5072.2700106034536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22352.562379313142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17.420515916596461</v>
      </c>
      <c r="D54" s="703">
        <f ca="1">+landbouw!C12</f>
        <v>0</v>
      </c>
      <c r="E54" s="703">
        <f>+landbouw!D12</f>
        <v>33.327874290678977</v>
      </c>
      <c r="F54" s="703">
        <f>+landbouw!E12</f>
        <v>0.5388591389783487</v>
      </c>
      <c r="G54" s="703">
        <f>+landbouw!F12</f>
        <v>89.831690308193799</v>
      </c>
      <c r="H54" s="703">
        <f>+landbouw!G12</f>
        <v>0</v>
      </c>
      <c r="I54" s="703">
        <f>+landbouw!H12</f>
        <v>0</v>
      </c>
      <c r="J54" s="703">
        <f>+landbouw!I12</f>
        <v>0</v>
      </c>
      <c r="K54" s="703">
        <f>+landbouw!J12</f>
        <v>4.1420177435965027</v>
      </c>
      <c r="L54" s="703">
        <f>+landbouw!K12</f>
        <v>0</v>
      </c>
      <c r="M54" s="703">
        <f>+landbouw!L12</f>
        <v>0</v>
      </c>
      <c r="N54" s="703">
        <f>+landbouw!M12</f>
        <v>0</v>
      </c>
      <c r="O54" s="703">
        <f>+landbouw!N12</f>
        <v>0</v>
      </c>
      <c r="P54" s="703">
        <f>+landbouw!O12</f>
        <v>0</v>
      </c>
      <c r="Q54" s="704">
        <f>+landbouw!P12</f>
        <v>0</v>
      </c>
      <c r="R54" s="731">
        <f ca="1">SUM(C54:Q54)</f>
        <v>145.2609573980441</v>
      </c>
    </row>
    <row r="55" spans="1:18" ht="15" thickBot="1">
      <c r="A55" s="825" t="s">
        <v>836</v>
      </c>
      <c r="B55" s="835"/>
      <c r="C55" s="703">
        <f ca="1">C25*'EF ele_warmte'!B12</f>
        <v>426.2947152667291</v>
      </c>
      <c r="D55" s="703"/>
      <c r="E55" s="703">
        <f>E25*EF_CO2_aardgas</f>
        <v>1762.1706102480764</v>
      </c>
      <c r="F55" s="703"/>
      <c r="G55" s="703"/>
      <c r="H55" s="703"/>
      <c r="I55" s="703"/>
      <c r="J55" s="703"/>
      <c r="K55" s="703"/>
      <c r="L55" s="703"/>
      <c r="M55" s="703"/>
      <c r="N55" s="703"/>
      <c r="O55" s="703"/>
      <c r="P55" s="703"/>
      <c r="Q55" s="704"/>
      <c r="R55" s="731">
        <f ca="1">SUM(C55:Q55)</f>
        <v>2188.4653255148055</v>
      </c>
    </row>
    <row r="56" spans="1:18" ht="15.75" thickBot="1">
      <c r="A56" s="823" t="s">
        <v>837</v>
      </c>
      <c r="B56" s="836"/>
      <c r="C56" s="732">
        <f ca="1">SUM(C54:C55)</f>
        <v>443.71523118332556</v>
      </c>
      <c r="D56" s="732">
        <f t="shared" ref="D56:Q56" ca="1" si="7">SUM(D54:D55)</f>
        <v>0</v>
      </c>
      <c r="E56" s="732">
        <f t="shared" si="7"/>
        <v>1795.4984845387553</v>
      </c>
      <c r="F56" s="732">
        <f t="shared" si="7"/>
        <v>0.5388591389783487</v>
      </c>
      <c r="G56" s="732">
        <f t="shared" si="7"/>
        <v>89.831690308193799</v>
      </c>
      <c r="H56" s="732">
        <f t="shared" si="7"/>
        <v>0</v>
      </c>
      <c r="I56" s="732">
        <f t="shared" si="7"/>
        <v>0</v>
      </c>
      <c r="J56" s="732">
        <f t="shared" si="7"/>
        <v>0</v>
      </c>
      <c r="K56" s="732">
        <f t="shared" si="7"/>
        <v>4.1420177435965027</v>
      </c>
      <c r="L56" s="732">
        <f t="shared" si="7"/>
        <v>0</v>
      </c>
      <c r="M56" s="732">
        <f t="shared" si="7"/>
        <v>0</v>
      </c>
      <c r="N56" s="732">
        <f t="shared" si="7"/>
        <v>0</v>
      </c>
      <c r="O56" s="732">
        <f t="shared" si="7"/>
        <v>0</v>
      </c>
      <c r="P56" s="732">
        <f t="shared" si="7"/>
        <v>0</v>
      </c>
      <c r="Q56" s="733">
        <f t="shared" si="7"/>
        <v>0</v>
      </c>
      <c r="R56" s="734">
        <f ca="1">SUM(R54:R55)</f>
        <v>2333.7262829128495</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080"/>
      <c r="D58" s="1081"/>
      <c r="E58" s="1081"/>
      <c r="F58" s="1081"/>
      <c r="G58" s="1081"/>
      <c r="H58" s="1081"/>
      <c r="I58" s="1081"/>
      <c r="J58" s="1081"/>
      <c r="K58" s="1081"/>
      <c r="L58" s="1081"/>
      <c r="M58" s="1081"/>
      <c r="N58" s="1081"/>
      <c r="O58" s="1081"/>
      <c r="P58" s="1081"/>
      <c r="Q58" s="1081"/>
      <c r="R58" s="738"/>
    </row>
    <row r="59" spans="1:18" ht="15">
      <c r="A59" s="827" t="s">
        <v>239</v>
      </c>
      <c r="B59" s="814"/>
      <c r="C59" s="1082"/>
      <c r="D59" s="1083"/>
      <c r="E59" s="1083"/>
      <c r="F59" s="1083"/>
      <c r="G59" s="1083"/>
      <c r="H59" s="1083"/>
      <c r="I59" s="1083"/>
      <c r="J59" s="1083"/>
      <c r="K59" s="1083"/>
      <c r="L59" s="1083"/>
      <c r="M59" s="1083"/>
      <c r="N59" s="1083"/>
      <c r="O59" s="1083"/>
      <c r="P59" s="1083"/>
      <c r="Q59" s="1083"/>
      <c r="R59" s="739"/>
    </row>
    <row r="60" spans="1:18" ht="15" thickBot="1">
      <c r="A60" s="838" t="s">
        <v>240</v>
      </c>
      <c r="B60" s="839"/>
      <c r="C60" s="1082"/>
      <c r="D60" s="1083"/>
      <c r="E60" s="1083"/>
      <c r="F60" s="1083"/>
      <c r="G60" s="1083"/>
      <c r="H60" s="1083"/>
      <c r="I60" s="1083"/>
      <c r="J60" s="1083"/>
      <c r="K60" s="1083"/>
      <c r="L60" s="1083"/>
      <c r="M60" s="1083"/>
      <c r="N60" s="1083"/>
      <c r="O60" s="1083"/>
      <c r="P60" s="1083"/>
      <c r="Q60" s="1083"/>
      <c r="R60" s="731"/>
    </row>
    <row r="61" spans="1:18" ht="16.5" thickBot="1">
      <c r="A61" s="841" t="s">
        <v>116</v>
      </c>
      <c r="B61" s="842"/>
      <c r="C61" s="740">
        <f ca="1">C46+C52+C56</f>
        <v>11827.232331086747</v>
      </c>
      <c r="D61" s="740">
        <f t="shared" ref="D61:Q61" ca="1" si="8">D46+D52+D56</f>
        <v>0</v>
      </c>
      <c r="E61" s="740">
        <f t="shared" ca="1" si="8"/>
        <v>35848.210677776864</v>
      </c>
      <c r="F61" s="740">
        <f t="shared" si="8"/>
        <v>416.75733041600444</v>
      </c>
      <c r="G61" s="740">
        <f t="shared" ca="1" si="8"/>
        <v>3911.9070771125271</v>
      </c>
      <c r="H61" s="740">
        <f t="shared" si="8"/>
        <v>17180.705874786945</v>
      </c>
      <c r="I61" s="740">
        <f t="shared" si="8"/>
        <v>5072.2700106034536</v>
      </c>
      <c r="J61" s="740">
        <f t="shared" si="8"/>
        <v>0</v>
      </c>
      <c r="K61" s="740">
        <f t="shared" si="8"/>
        <v>4.299942741134184</v>
      </c>
      <c r="L61" s="740">
        <f t="shared" si="8"/>
        <v>0</v>
      </c>
      <c r="M61" s="740">
        <f t="shared" ca="1" si="8"/>
        <v>0</v>
      </c>
      <c r="N61" s="740">
        <f t="shared" si="8"/>
        <v>0</v>
      </c>
      <c r="O61" s="740">
        <f t="shared" ca="1" si="8"/>
        <v>0</v>
      </c>
      <c r="P61" s="740">
        <f t="shared" si="8"/>
        <v>0</v>
      </c>
      <c r="Q61" s="740">
        <f t="shared" si="8"/>
        <v>0</v>
      </c>
      <c r="R61" s="740">
        <f ca="1">R46+R52+R56</f>
        <v>74261.383244523677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0.21570307423855445</v>
      </c>
      <c r="D63" s="781">
        <f t="shared" ca="1" si="9"/>
        <v>0</v>
      </c>
      <c r="E63" s="1024">
        <f t="shared" ca="1" si="9"/>
        <v>0.20199999999999999</v>
      </c>
      <c r="F63" s="781">
        <f t="shared" si="9"/>
        <v>0.22700000000000001</v>
      </c>
      <c r="G63" s="781">
        <f t="shared" ca="1" si="9"/>
        <v>0.26699999999999996</v>
      </c>
      <c r="H63" s="781">
        <f t="shared" si="9"/>
        <v>0.26700000000000007</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0"/>
      <c r="B67" s="1090"/>
      <c r="C67" s="1090"/>
      <c r="D67" s="1090"/>
      <c r="E67" s="1090"/>
      <c r="F67" s="1090"/>
      <c r="G67" s="1090"/>
      <c r="H67" s="1090"/>
      <c r="I67" s="1090"/>
      <c r="J67" s="1090"/>
      <c r="K67" s="1090"/>
      <c r="L67" s="1090"/>
      <c r="M67" s="1090"/>
      <c r="N67" s="1090"/>
      <c r="O67" s="1090"/>
      <c r="P67" s="1090"/>
      <c r="Q67" s="1090"/>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1" t="s">
        <v>241</v>
      </c>
      <c r="B69" s="1094" t="s">
        <v>351</v>
      </c>
      <c r="C69" s="1095"/>
      <c r="D69" s="1098" t="s">
        <v>352</v>
      </c>
      <c r="E69" s="1099"/>
      <c r="F69" s="1099"/>
      <c r="G69" s="1099"/>
      <c r="H69" s="1099"/>
      <c r="I69" s="1099"/>
      <c r="J69" s="1099"/>
      <c r="K69" s="1099"/>
      <c r="L69" s="1099"/>
      <c r="M69" s="1099"/>
      <c r="N69" s="1099"/>
      <c r="O69" s="1100"/>
      <c r="P69" s="1025" t="s">
        <v>642</v>
      </c>
      <c r="Q69" s="1101" t="s">
        <v>641</v>
      </c>
      <c r="R69" s="1102"/>
    </row>
    <row r="70" spans="1:18" ht="61.5" thickTop="1" thickBot="1">
      <c r="A70" s="1092"/>
      <c r="B70" s="1096"/>
      <c r="C70" s="1097"/>
      <c r="D70" s="1103" t="s">
        <v>197</v>
      </c>
      <c r="E70" s="1104"/>
      <c r="F70" s="1104"/>
      <c r="G70" s="1104"/>
      <c r="H70" s="1105"/>
      <c r="I70" s="1005" t="s">
        <v>246</v>
      </c>
      <c r="J70" s="1005" t="s">
        <v>234</v>
      </c>
      <c r="K70" s="1005" t="s">
        <v>209</v>
      </c>
      <c r="L70" s="1005" t="s">
        <v>210</v>
      </c>
      <c r="M70" s="749" t="s">
        <v>245</v>
      </c>
      <c r="N70" s="1005" t="s">
        <v>247</v>
      </c>
      <c r="O70" s="1000" t="s">
        <v>127</v>
      </c>
      <c r="P70" s="1026"/>
      <c r="Q70" s="856"/>
      <c r="R70" s="857"/>
    </row>
    <row r="71" spans="1:18" ht="95.25" customHeight="1" thickTop="1" thickBot="1">
      <c r="A71" s="1093"/>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084"/>
      <c r="D72" s="1084"/>
      <c r="E72" s="1087"/>
      <c r="F72" s="1087"/>
      <c r="G72" s="1148"/>
      <c r="H72" s="1151"/>
      <c r="I72" s="1154"/>
      <c r="J72" s="997"/>
      <c r="K72" s="1106"/>
      <c r="L72" s="1106"/>
      <c r="M72" s="1106"/>
      <c r="N72" s="1106"/>
      <c r="O72" s="1107"/>
      <c r="P72" s="851">
        <v>0</v>
      </c>
      <c r="Q72" s="1031"/>
      <c r="R72" s="851">
        <v>0</v>
      </c>
    </row>
    <row r="73" spans="1:18" ht="15">
      <c r="A73" s="751" t="s">
        <v>250</v>
      </c>
      <c r="B73" s="750">
        <f>'lokale energieproductie'!B5</f>
        <v>0</v>
      </c>
      <c r="C73" s="1085"/>
      <c r="D73" s="1085"/>
      <c r="E73" s="1088"/>
      <c r="F73" s="1088"/>
      <c r="G73" s="1149"/>
      <c r="H73" s="1152"/>
      <c r="I73" s="1085"/>
      <c r="J73" s="998"/>
      <c r="K73" s="1088"/>
      <c r="L73" s="1088"/>
      <c r="M73" s="1088"/>
      <c r="N73" s="1088"/>
      <c r="O73" s="1108"/>
      <c r="P73" s="852">
        <v>0</v>
      </c>
      <c r="Q73" s="858"/>
      <c r="R73" s="852">
        <v>0</v>
      </c>
    </row>
    <row r="74" spans="1:18" ht="15">
      <c r="A74" s="751" t="s">
        <v>251</v>
      </c>
      <c r="B74" s="750">
        <f>'lokale energieproductie'!B6</f>
        <v>1314.19074907348</v>
      </c>
      <c r="C74" s="1085"/>
      <c r="D74" s="1085"/>
      <c r="E74" s="1088"/>
      <c r="F74" s="1088"/>
      <c r="G74" s="1149"/>
      <c r="H74" s="1152"/>
      <c r="I74" s="1085"/>
      <c r="J74" s="998"/>
      <c r="K74" s="1088"/>
      <c r="L74" s="1088"/>
      <c r="M74" s="1088"/>
      <c r="N74" s="1088"/>
      <c r="O74" s="1108"/>
      <c r="P74" s="852">
        <v>0</v>
      </c>
      <c r="Q74" s="858"/>
      <c r="R74" s="852">
        <v>0</v>
      </c>
    </row>
    <row r="75" spans="1:18" ht="15.75" thickBot="1">
      <c r="A75" s="751" t="s">
        <v>839</v>
      </c>
      <c r="B75" s="750">
        <f>'lokale energieproductie'!B7</f>
        <v>0</v>
      </c>
      <c r="C75" s="1086"/>
      <c r="D75" s="1086"/>
      <c r="E75" s="1089"/>
      <c r="F75" s="1089"/>
      <c r="G75" s="1150"/>
      <c r="H75" s="1153"/>
      <c r="I75" s="1086"/>
      <c r="J75" s="1032"/>
      <c r="K75" s="1089"/>
      <c r="L75" s="1089"/>
      <c r="M75" s="1089"/>
      <c r="N75" s="1089"/>
      <c r="O75" s="1109"/>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1314.19074907348</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0"/>
      <c r="B82" s="1090"/>
      <c r="C82" s="1090"/>
      <c r="D82" s="1090"/>
      <c r="E82" s="1090"/>
      <c r="F82" s="1090"/>
      <c r="G82" s="1090"/>
      <c r="H82" s="1090"/>
      <c r="I82" s="1090"/>
      <c r="J82" s="1090"/>
      <c r="K82" s="1090"/>
      <c r="L82" s="1090"/>
      <c r="M82" s="1090"/>
      <c r="N82" s="1090"/>
      <c r="O82" s="1090"/>
      <c r="P82" s="1090"/>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1" t="s">
        <v>253</v>
      </c>
      <c r="B84" s="1094" t="s">
        <v>355</v>
      </c>
      <c r="C84" s="1142"/>
      <c r="D84" s="1145" t="s">
        <v>356</v>
      </c>
      <c r="E84" s="1146"/>
      <c r="F84" s="1146"/>
      <c r="G84" s="1146"/>
      <c r="H84" s="1146"/>
      <c r="I84" s="1146"/>
      <c r="J84" s="1146"/>
      <c r="K84" s="1146"/>
      <c r="L84" s="1146"/>
      <c r="M84" s="1146"/>
      <c r="N84" s="1146"/>
      <c r="O84" s="1147"/>
      <c r="P84" s="1025" t="s">
        <v>642</v>
      </c>
      <c r="Q84" s="1094" t="s">
        <v>641</v>
      </c>
      <c r="R84" s="1095"/>
    </row>
    <row r="85" spans="1:19" ht="16.5" customHeight="1" thickTop="1" thickBot="1">
      <c r="A85" s="1092"/>
      <c r="B85" s="1143"/>
      <c r="C85" s="1144"/>
      <c r="D85" s="1158" t="s">
        <v>197</v>
      </c>
      <c r="E85" s="1159"/>
      <c r="F85" s="1159"/>
      <c r="G85" s="1159"/>
      <c r="H85" s="1160"/>
      <c r="I85" s="1161" t="s">
        <v>246</v>
      </c>
      <c r="J85" s="1137" t="s">
        <v>234</v>
      </c>
      <c r="K85" s="1164" t="s">
        <v>209</v>
      </c>
      <c r="L85" s="1164" t="s">
        <v>210</v>
      </c>
      <c r="M85" s="1165" t="s">
        <v>245</v>
      </c>
      <c r="N85" s="1164" t="s">
        <v>257</v>
      </c>
      <c r="O85" s="1167" t="s">
        <v>127</v>
      </c>
      <c r="P85" s="1026"/>
      <c r="Q85" s="856"/>
      <c r="R85" s="857"/>
    </row>
    <row r="86" spans="1:19" ht="110.25" customHeight="1" thickTop="1" thickBot="1">
      <c r="A86" s="1093"/>
      <c r="B86" s="844" t="s">
        <v>640</v>
      </c>
      <c r="C86" s="844" t="s">
        <v>838</v>
      </c>
      <c r="D86" s="995" t="s">
        <v>199</v>
      </c>
      <c r="E86" s="996" t="s">
        <v>200</v>
      </c>
      <c r="F86" s="1004" t="s">
        <v>201</v>
      </c>
      <c r="G86" s="996" t="s">
        <v>203</v>
      </c>
      <c r="H86" s="764" t="s">
        <v>204</v>
      </c>
      <c r="I86" s="1162"/>
      <c r="J86" s="1163"/>
      <c r="K86" s="1138"/>
      <c r="L86" s="1138"/>
      <c r="M86" s="1166"/>
      <c r="N86" s="1138"/>
      <c r="O86" s="1168"/>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5"/>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6"/>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7"/>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A82:P82"/>
    <mergeCell ref="A84:A86"/>
    <mergeCell ref="B84:C85"/>
    <mergeCell ref="D84:O84"/>
    <mergeCell ref="G72:G75"/>
    <mergeCell ref="H72:H75"/>
    <mergeCell ref="I72:I75"/>
    <mergeCell ref="K72:K75"/>
    <mergeCell ref="L72:L75"/>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 ref="C8:Q8"/>
    <mergeCell ref="C17:Q17"/>
    <mergeCell ref="C23:Q23"/>
    <mergeCell ref="A31:C31"/>
    <mergeCell ref="A33:R33"/>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5" t="s">
        <v>241</v>
      </c>
      <c r="B1" s="1235" t="s">
        <v>242</v>
      </c>
      <c r="C1" s="1253" t="s">
        <v>243</v>
      </c>
      <c r="D1" s="1254"/>
      <c r="E1" s="1254"/>
      <c r="F1" s="1254"/>
      <c r="G1" s="1254"/>
      <c r="H1" s="1254"/>
      <c r="I1" s="1254"/>
      <c r="J1" s="1254"/>
      <c r="K1" s="1254"/>
      <c r="L1" s="1254"/>
      <c r="M1" s="1254"/>
      <c r="N1" s="1255"/>
      <c r="O1" s="1232" t="s">
        <v>244</v>
      </c>
      <c r="P1" s="1235" t="s">
        <v>547</v>
      </c>
      <c r="Q1" s="1232"/>
      <c r="S1" s="1240"/>
      <c r="T1" s="1240"/>
      <c r="U1" s="1240"/>
    </row>
    <row r="2" spans="1:21" s="559" customFormat="1" ht="15.75" thickBot="1">
      <c r="A2" s="1246"/>
      <c r="B2" s="1246"/>
      <c r="C2" s="1248" t="s">
        <v>197</v>
      </c>
      <c r="D2" s="1249"/>
      <c r="E2" s="1249"/>
      <c r="F2" s="1249"/>
      <c r="G2" s="1250"/>
      <c r="H2" s="1251" t="s">
        <v>245</v>
      </c>
      <c r="I2" s="1243" t="s">
        <v>246</v>
      </c>
      <c r="J2" s="1243" t="s">
        <v>234</v>
      </c>
      <c r="K2" s="1243" t="s">
        <v>247</v>
      </c>
      <c r="L2" s="1243" t="s">
        <v>127</v>
      </c>
      <c r="M2" s="1243" t="s">
        <v>841</v>
      </c>
      <c r="N2" s="1256" t="s">
        <v>842</v>
      </c>
      <c r="O2" s="1233"/>
      <c r="P2" s="1236"/>
      <c r="Q2" s="1233"/>
      <c r="S2" s="1240"/>
      <c r="T2" s="1240"/>
      <c r="U2" s="1240"/>
    </row>
    <row r="3" spans="1:21" s="559" customFormat="1" ht="53.45" customHeight="1" thickBot="1">
      <c r="A3" s="1247"/>
      <c r="B3" s="1237"/>
      <c r="C3" s="560" t="s">
        <v>199</v>
      </c>
      <c r="D3" s="1006" t="s">
        <v>200</v>
      </c>
      <c r="E3" s="561" t="s">
        <v>201</v>
      </c>
      <c r="F3" s="562" t="s">
        <v>203</v>
      </c>
      <c r="G3" s="563" t="s">
        <v>204</v>
      </c>
      <c r="H3" s="1252"/>
      <c r="I3" s="1244"/>
      <c r="J3" s="1244"/>
      <c r="K3" s="1244"/>
      <c r="L3" s="1244"/>
      <c r="M3" s="1244"/>
      <c r="N3" s="1257"/>
      <c r="O3" s="1234"/>
      <c r="P3" s="1237"/>
      <c r="Q3" s="1234"/>
      <c r="S3" s="1240"/>
      <c r="T3" s="1240"/>
      <c r="U3" s="1240"/>
    </row>
    <row r="4" spans="1:21" s="559" customFormat="1" ht="15.75" thickTop="1">
      <c r="A4" s="564" t="s">
        <v>249</v>
      </c>
      <c r="B4" s="565">
        <f>IF(ISERROR(kWh_wind_land),0,kWh_wind_land)</f>
        <v>0</v>
      </c>
      <c r="C4" s="1258"/>
      <c r="D4" s="1261"/>
      <c r="E4" s="1261"/>
      <c r="F4" s="1264"/>
      <c r="G4" s="1267"/>
      <c r="H4" s="1270"/>
      <c r="I4" s="1261"/>
      <c r="J4" s="1261"/>
      <c r="K4" s="1261"/>
      <c r="L4" s="1261"/>
      <c r="M4" s="1261"/>
      <c r="N4" s="1041"/>
      <c r="O4" s="566"/>
      <c r="P4" s="1273"/>
      <c r="Q4" s="1274"/>
      <c r="S4" s="1007"/>
      <c r="T4" s="1275"/>
      <c r="U4" s="1275"/>
    </row>
    <row r="5" spans="1:21" s="559" customFormat="1">
      <c r="A5" s="567" t="s">
        <v>250</v>
      </c>
      <c r="B5" s="565">
        <f>IF(ISERROR(kWh_waterkracht),0,kWh_waterkracht)</f>
        <v>0</v>
      </c>
      <c r="C5" s="1259"/>
      <c r="D5" s="1262"/>
      <c r="E5" s="1262"/>
      <c r="F5" s="1265"/>
      <c r="G5" s="1268"/>
      <c r="H5" s="1271"/>
      <c r="I5" s="1262"/>
      <c r="J5" s="1262"/>
      <c r="K5" s="1262"/>
      <c r="L5" s="1262"/>
      <c r="M5" s="1262"/>
      <c r="N5" s="1041"/>
      <c r="O5" s="568"/>
      <c r="P5" s="1238"/>
      <c r="Q5" s="1239"/>
      <c r="S5" s="1007"/>
      <c r="T5" s="1275"/>
      <c r="U5" s="1275"/>
    </row>
    <row r="6" spans="1:21" s="559" customFormat="1">
      <c r="A6" s="567" t="s">
        <v>251</v>
      </c>
      <c r="B6" s="565">
        <f>IF(ISERROR((kWh_PV_kleiner_dan_10kW+kWh_PV_groter_dan_10kW)),0,(kWh_PV_kleiner_dan_10kW+kWh_PV_groter_dan_10kW))</f>
        <v>1314.19074907348</v>
      </c>
      <c r="C6" s="1259"/>
      <c r="D6" s="1262"/>
      <c r="E6" s="1262"/>
      <c r="F6" s="1265"/>
      <c r="G6" s="1268"/>
      <c r="H6" s="1271"/>
      <c r="I6" s="1262"/>
      <c r="J6" s="1262"/>
      <c r="K6" s="1262"/>
      <c r="L6" s="1262"/>
      <c r="M6" s="1262"/>
      <c r="N6" s="1041"/>
      <c r="O6" s="568"/>
      <c r="P6" s="1238"/>
      <c r="Q6" s="1239"/>
      <c r="S6" s="1007"/>
      <c r="T6" s="1275"/>
      <c r="U6" s="1275"/>
    </row>
    <row r="7" spans="1:21" s="559" customFormat="1">
      <c r="A7" s="567" t="s">
        <v>839</v>
      </c>
      <c r="B7" s="565"/>
      <c r="C7" s="1260"/>
      <c r="D7" s="1263"/>
      <c r="E7" s="1263"/>
      <c r="F7" s="1266"/>
      <c r="G7" s="1269"/>
      <c r="H7" s="1272"/>
      <c r="I7" s="1263"/>
      <c r="J7" s="1263"/>
      <c r="K7" s="1263"/>
      <c r="L7" s="1263"/>
      <c r="M7" s="1263"/>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38"/>
      <c r="Q8" s="1239"/>
      <c r="S8" s="1007"/>
      <c r="T8" s="1275"/>
      <c r="U8" s="1275"/>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41"/>
      <c r="Q9" s="1242"/>
      <c r="R9" s="580"/>
      <c r="S9" s="1007"/>
      <c r="T9" s="1275"/>
      <c r="U9" s="1275"/>
    </row>
    <row r="10" spans="1:21" s="559" customFormat="1" ht="16.5" thickTop="1" thickBot="1">
      <c r="A10" s="581" t="s">
        <v>116</v>
      </c>
      <c r="B10" s="582">
        <f>SUM(B4:B9)</f>
        <v>1314.19074907348</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5" t="s">
        <v>253</v>
      </c>
      <c r="B14" s="1245" t="s">
        <v>254</v>
      </c>
      <c r="C14" s="1276" t="s">
        <v>255</v>
      </c>
      <c r="D14" s="1277"/>
      <c r="E14" s="1277"/>
      <c r="F14" s="1277"/>
      <c r="G14" s="1277"/>
      <c r="H14" s="1277"/>
      <c r="I14" s="1277"/>
      <c r="J14" s="1277"/>
      <c r="K14" s="1277"/>
      <c r="L14" s="1277"/>
      <c r="M14" s="1277"/>
      <c r="N14" s="1278"/>
      <c r="O14" s="1232" t="s">
        <v>244</v>
      </c>
      <c r="P14" s="1235" t="s">
        <v>256</v>
      </c>
      <c r="Q14" s="1232"/>
      <c r="R14" s="1240"/>
      <c r="S14" s="1240"/>
      <c r="T14" s="1240"/>
    </row>
    <row r="15" spans="1:21" s="559" customFormat="1" ht="15.75" customHeight="1" thickBot="1">
      <c r="A15" s="1246"/>
      <c r="B15" s="1246"/>
      <c r="C15" s="1279" t="s">
        <v>197</v>
      </c>
      <c r="D15" s="1280"/>
      <c r="E15" s="1280"/>
      <c r="F15" s="1280"/>
      <c r="G15" s="1281"/>
      <c r="H15" s="1282" t="s">
        <v>245</v>
      </c>
      <c r="I15" s="1282" t="s">
        <v>246</v>
      </c>
      <c r="J15" s="1282" t="s">
        <v>234</v>
      </c>
      <c r="K15" s="1282" t="s">
        <v>257</v>
      </c>
      <c r="L15" s="1282" t="s">
        <v>127</v>
      </c>
      <c r="M15" s="1282" t="s">
        <v>841</v>
      </c>
      <c r="N15" s="1256" t="s">
        <v>842</v>
      </c>
      <c r="O15" s="1233"/>
      <c r="P15" s="1236"/>
      <c r="Q15" s="1233"/>
      <c r="R15" s="1240"/>
      <c r="S15" s="1240"/>
      <c r="T15" s="1240"/>
    </row>
    <row r="16" spans="1:21" s="559" customFormat="1" ht="40.700000000000003" customHeight="1" thickBot="1">
      <c r="A16" s="1247"/>
      <c r="B16" s="1247"/>
      <c r="C16" s="591" t="s">
        <v>199</v>
      </c>
      <c r="D16" s="1006" t="s">
        <v>200</v>
      </c>
      <c r="E16" s="1008" t="s">
        <v>201</v>
      </c>
      <c r="F16" s="1006" t="s">
        <v>203</v>
      </c>
      <c r="G16" s="592" t="s">
        <v>204</v>
      </c>
      <c r="H16" s="1252"/>
      <c r="I16" s="1252"/>
      <c r="J16" s="1252"/>
      <c r="K16" s="1252"/>
      <c r="L16" s="1252"/>
      <c r="M16" s="1252"/>
      <c r="N16" s="1257"/>
      <c r="O16" s="1234"/>
      <c r="P16" s="1237"/>
      <c r="Q16" s="1234"/>
      <c r="R16" s="1240"/>
      <c r="S16" s="1240"/>
      <c r="T16" s="1240"/>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91"/>
      <c r="Q17" s="1292"/>
      <c r="R17" s="1012"/>
      <c r="S17" s="1286"/>
      <c r="T17" s="1286"/>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87"/>
      <c r="Q18" s="1288"/>
      <c r="R18" s="1007"/>
      <c r="S18" s="1275"/>
      <c r="T18" s="1275"/>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89"/>
      <c r="Q19" s="1290"/>
      <c r="R19" s="1007"/>
      <c r="S19" s="1275"/>
      <c r="T19" s="1275"/>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83"/>
      <c r="Q20" s="1284"/>
      <c r="R20" s="1007"/>
      <c r="S20" s="1285"/>
      <c r="T20" s="1285"/>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L2:L3"/>
    <mergeCell ref="A1:A3"/>
    <mergeCell ref="B1:B3"/>
    <mergeCell ref="C2:G2"/>
    <mergeCell ref="H2:H3"/>
    <mergeCell ref="I2:I3"/>
    <mergeCell ref="J2:J3"/>
    <mergeCell ref="K2:K3"/>
    <mergeCell ref="C1:N1"/>
    <mergeCell ref="O1:O3"/>
    <mergeCell ref="P1:Q3"/>
    <mergeCell ref="P5:Q5"/>
    <mergeCell ref="S1:S3"/>
    <mergeCell ref="P9:Q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4" sqref="C14:D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846</v>
      </c>
      <c r="D13" s="941" t="s">
        <v>847</v>
      </c>
    </row>
    <row r="14" spans="1:4" s="7" customFormat="1">
      <c r="A14" s="889" t="s">
        <v>869</v>
      </c>
      <c r="B14" s="917">
        <v>43678</v>
      </c>
      <c r="C14" s="917" t="s">
        <v>870</v>
      </c>
      <c r="D14" s="941" t="s">
        <v>871</v>
      </c>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33241.712817410058</v>
      </c>
      <c r="C4" s="477">
        <f>huishoudens!C8</f>
        <v>0</v>
      </c>
      <c r="D4" s="477">
        <f>huishoudens!D8</f>
        <v>132234.04090894302</v>
      </c>
      <c r="E4" s="477">
        <f>huishoudens!E8</f>
        <v>946.10916425958487</v>
      </c>
      <c r="F4" s="477">
        <f>huishoudens!F8</f>
        <v>10220.695566061728</v>
      </c>
      <c r="G4" s="477">
        <f>huishoudens!G8</f>
        <v>0</v>
      </c>
      <c r="H4" s="477">
        <f>huishoudens!H8</f>
        <v>0</v>
      </c>
      <c r="I4" s="477">
        <f>huishoudens!I8</f>
        <v>0</v>
      </c>
      <c r="J4" s="477">
        <f>huishoudens!J8</f>
        <v>0</v>
      </c>
      <c r="K4" s="477">
        <f>huishoudens!K8</f>
        <v>0</v>
      </c>
      <c r="L4" s="477">
        <f>huishoudens!L8</f>
        <v>0</v>
      </c>
      <c r="M4" s="477">
        <f>huishoudens!M8</f>
        <v>0</v>
      </c>
      <c r="N4" s="477">
        <f>huishoudens!N8</f>
        <v>7523.3402317032014</v>
      </c>
      <c r="O4" s="477">
        <f>huishoudens!O8</f>
        <v>89.11</v>
      </c>
      <c r="P4" s="478">
        <f>huishoudens!P8</f>
        <v>209.73333333333335</v>
      </c>
      <c r="Q4" s="479">
        <f>SUM(B4:P4)</f>
        <v>184464.7420217109</v>
      </c>
    </row>
    <row r="5" spans="1:17">
      <c r="A5" s="476" t="s">
        <v>156</v>
      </c>
      <c r="B5" s="477">
        <f ca="1">tertiair!B16</f>
        <v>16527.620884669115</v>
      </c>
      <c r="C5" s="477">
        <f ca="1">tertiair!C16</f>
        <v>0</v>
      </c>
      <c r="D5" s="477">
        <f ca="1">tertiair!D16</f>
        <v>33474.81711535799</v>
      </c>
      <c r="E5" s="477">
        <f>tertiair!E16</f>
        <v>192.54721321937458</v>
      </c>
      <c r="F5" s="477">
        <f ca="1">tertiair!F16</f>
        <v>2821.9785116163598</v>
      </c>
      <c r="G5" s="477">
        <f>tertiair!G16</f>
        <v>0</v>
      </c>
      <c r="H5" s="477">
        <f>tertiair!H16</f>
        <v>0</v>
      </c>
      <c r="I5" s="477">
        <f>tertiair!I16</f>
        <v>0</v>
      </c>
      <c r="J5" s="477">
        <f>tertiair!J16</f>
        <v>2.5179586245570838E-2</v>
      </c>
      <c r="K5" s="477">
        <f>tertiair!K16</f>
        <v>0</v>
      </c>
      <c r="L5" s="477">
        <f ca="1">tertiair!L16</f>
        <v>0</v>
      </c>
      <c r="M5" s="477">
        <f>tertiair!M16</f>
        <v>0</v>
      </c>
      <c r="N5" s="477">
        <f ca="1">tertiair!N16</f>
        <v>1010.4302984316793</v>
      </c>
      <c r="O5" s="477">
        <f>tertiair!O16</f>
        <v>1.5633333333333335</v>
      </c>
      <c r="P5" s="478">
        <f>tertiair!P16</f>
        <v>0</v>
      </c>
      <c r="Q5" s="476">
        <f t="shared" ref="Q5:Q14" ca="1" si="0">SUM(B5:P5)</f>
        <v>54028.982536214098</v>
      </c>
    </row>
    <row r="6" spans="1:17">
      <c r="A6" s="476" t="s">
        <v>194</v>
      </c>
      <c r="B6" s="477">
        <f>'openbare verlichting'!B8</f>
        <v>1170.348</v>
      </c>
      <c r="C6" s="477"/>
      <c r="D6" s="477"/>
      <c r="E6" s="477"/>
      <c r="F6" s="477"/>
      <c r="G6" s="477"/>
      <c r="H6" s="477"/>
      <c r="I6" s="477"/>
      <c r="J6" s="477"/>
      <c r="K6" s="477"/>
      <c r="L6" s="477"/>
      <c r="M6" s="477"/>
      <c r="N6" s="477"/>
      <c r="O6" s="477"/>
      <c r="P6" s="478"/>
      <c r="Q6" s="476">
        <f t="shared" si="0"/>
        <v>1170.348</v>
      </c>
    </row>
    <row r="7" spans="1:17">
      <c r="A7" s="476" t="s">
        <v>112</v>
      </c>
      <c r="B7" s="477">
        <f>landbouw!B8</f>
        <v>80.7615560329494</v>
      </c>
      <c r="C7" s="477">
        <f>landbouw!C8</f>
        <v>0</v>
      </c>
      <c r="D7" s="477">
        <f>landbouw!D8</f>
        <v>164.98947668652957</v>
      </c>
      <c r="E7" s="477">
        <f>landbouw!E8</f>
        <v>2.3738288060720207</v>
      </c>
      <c r="F7" s="477">
        <f>landbouw!F8</f>
        <v>336.44827830784192</v>
      </c>
      <c r="G7" s="477">
        <f>landbouw!G8</f>
        <v>0</v>
      </c>
      <c r="H7" s="477">
        <f>landbouw!H8</f>
        <v>0</v>
      </c>
      <c r="I7" s="477">
        <f>landbouw!I8</f>
        <v>0</v>
      </c>
      <c r="J7" s="477">
        <f>landbouw!J8</f>
        <v>11.700615094905375</v>
      </c>
      <c r="K7" s="477">
        <f>landbouw!K8</f>
        <v>0</v>
      </c>
      <c r="L7" s="477">
        <f>landbouw!L8</f>
        <v>0</v>
      </c>
      <c r="M7" s="477">
        <f>landbouw!M8</f>
        <v>0</v>
      </c>
      <c r="N7" s="477">
        <f>landbouw!N8</f>
        <v>0</v>
      </c>
      <c r="O7" s="477">
        <f>landbouw!O8</f>
        <v>0</v>
      </c>
      <c r="P7" s="478">
        <f>landbouw!P8</f>
        <v>0</v>
      </c>
      <c r="Q7" s="476">
        <f t="shared" si="0"/>
        <v>596.27375492829833</v>
      </c>
    </row>
    <row r="8" spans="1:17">
      <c r="A8" s="476" t="s">
        <v>635</v>
      </c>
      <c r="B8" s="477">
        <f>industrie!B18</f>
        <v>1792.6530161558924</v>
      </c>
      <c r="C8" s="477">
        <f>industrie!C18</f>
        <v>0</v>
      </c>
      <c r="D8" s="477">
        <f>industrie!D18</f>
        <v>2686.1088882581262</v>
      </c>
      <c r="E8" s="477">
        <f>industrie!E18</f>
        <v>458.48566507218686</v>
      </c>
      <c r="F8" s="477">
        <f>industrie!F18</f>
        <v>1272.2150114767194</v>
      </c>
      <c r="G8" s="477">
        <f>industrie!G18</f>
        <v>0</v>
      </c>
      <c r="H8" s="477">
        <f>industrie!H18</f>
        <v>0</v>
      </c>
      <c r="I8" s="477">
        <f>industrie!I18</f>
        <v>0</v>
      </c>
      <c r="J8" s="477">
        <f>industrie!J18</f>
        <v>0.42093622600776509</v>
      </c>
      <c r="K8" s="477">
        <f>industrie!K18</f>
        <v>0</v>
      </c>
      <c r="L8" s="477">
        <f>industrie!L18</f>
        <v>0</v>
      </c>
      <c r="M8" s="477">
        <f>industrie!M18</f>
        <v>0</v>
      </c>
      <c r="N8" s="477">
        <f>industrie!N18</f>
        <v>695.97494335843749</v>
      </c>
      <c r="O8" s="477">
        <f>industrie!O18</f>
        <v>0</v>
      </c>
      <c r="P8" s="478">
        <f>industrie!P18</f>
        <v>0</v>
      </c>
      <c r="Q8" s="476">
        <f t="shared" si="0"/>
        <v>6905.8584605473698</v>
      </c>
    </row>
    <row r="9" spans="1:17" s="482" customFormat="1">
      <c r="A9" s="480" t="s">
        <v>561</v>
      </c>
      <c r="B9" s="481">
        <f>transport!B14</f>
        <v>41.67946810863819</v>
      </c>
      <c r="C9" s="481">
        <f>transport!C14</f>
        <v>0</v>
      </c>
      <c r="D9" s="481">
        <f>transport!D14</f>
        <v>182.81622228299946</v>
      </c>
      <c r="E9" s="481">
        <f>transport!E14</f>
        <v>236.41950492473947</v>
      </c>
      <c r="F9" s="481">
        <f>transport!F14</f>
        <v>0</v>
      </c>
      <c r="G9" s="481">
        <f>transport!G14</f>
        <v>62646.177017720394</v>
      </c>
      <c r="H9" s="481">
        <f>transport!H14</f>
        <v>20370.562291580136</v>
      </c>
      <c r="I9" s="481">
        <f>transport!I14</f>
        <v>0</v>
      </c>
      <c r="J9" s="481">
        <f>transport!J14</f>
        <v>0</v>
      </c>
      <c r="K9" s="481">
        <f>transport!K14</f>
        <v>0</v>
      </c>
      <c r="L9" s="481">
        <f>transport!L14</f>
        <v>0</v>
      </c>
      <c r="M9" s="481">
        <f>transport!M14</f>
        <v>4260.998064091078</v>
      </c>
      <c r="N9" s="481">
        <f>transport!N14</f>
        <v>0</v>
      </c>
      <c r="O9" s="481">
        <f>transport!O14</f>
        <v>0</v>
      </c>
      <c r="P9" s="481">
        <f>transport!P14</f>
        <v>0</v>
      </c>
      <c r="Q9" s="480">
        <f>SUM(B9:P9)</f>
        <v>87738.652568707985</v>
      </c>
    </row>
    <row r="10" spans="1:17">
      <c r="A10" s="476" t="s">
        <v>551</v>
      </c>
      <c r="B10" s="477">
        <f>transport!B54</f>
        <v>0</v>
      </c>
      <c r="C10" s="477">
        <f>transport!C54</f>
        <v>0</v>
      </c>
      <c r="D10" s="477">
        <f>transport!D54</f>
        <v>0</v>
      </c>
      <c r="E10" s="477">
        <f>transport!E54</f>
        <v>0</v>
      </c>
      <c r="F10" s="477">
        <f>transport!F54</f>
        <v>0</v>
      </c>
      <c r="G10" s="477">
        <f>transport!G54</f>
        <v>1701.0359964629133</v>
      </c>
      <c r="H10" s="477">
        <f>transport!H54</f>
        <v>0</v>
      </c>
      <c r="I10" s="477">
        <f>transport!I54</f>
        <v>0</v>
      </c>
      <c r="J10" s="477">
        <f>transport!J54</f>
        <v>0</v>
      </c>
      <c r="K10" s="477">
        <f>transport!K54</f>
        <v>0</v>
      </c>
      <c r="L10" s="477">
        <f>transport!L54</f>
        <v>0</v>
      </c>
      <c r="M10" s="477">
        <f>transport!M54</f>
        <v>96.611335245754191</v>
      </c>
      <c r="N10" s="477">
        <f>transport!N54</f>
        <v>0</v>
      </c>
      <c r="O10" s="477">
        <f>transport!O54</f>
        <v>0</v>
      </c>
      <c r="P10" s="478">
        <f>transport!P54</f>
        <v>0</v>
      </c>
      <c r="Q10" s="476">
        <f t="shared" si="0"/>
        <v>1797.6473317086675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1976.3033826549599</v>
      </c>
      <c r="C14" s="484"/>
      <c r="D14" s="484">
        <f>'SEAP template'!E25</f>
        <v>8723.6168824162196</v>
      </c>
      <c r="E14" s="484"/>
      <c r="F14" s="484"/>
      <c r="G14" s="484"/>
      <c r="H14" s="484"/>
      <c r="I14" s="484"/>
      <c r="J14" s="484"/>
      <c r="K14" s="484"/>
      <c r="L14" s="484"/>
      <c r="M14" s="484"/>
      <c r="N14" s="484"/>
      <c r="O14" s="484"/>
      <c r="P14" s="485"/>
      <c r="Q14" s="476">
        <f t="shared" si="0"/>
        <v>10699.92026507118</v>
      </c>
    </row>
    <row r="15" spans="1:17" s="486" customFormat="1">
      <c r="A15" s="1039" t="s">
        <v>555</v>
      </c>
      <c r="B15" s="987">
        <f ca="1">SUM(B4:B14)</f>
        <v>54831.079125031611</v>
      </c>
      <c r="C15" s="987">
        <f t="shared" ref="C15:Q15" ca="1" si="1">SUM(C4:C14)</f>
        <v>0</v>
      </c>
      <c r="D15" s="987">
        <f t="shared" ca="1" si="1"/>
        <v>177466.38949394488</v>
      </c>
      <c r="E15" s="987">
        <f t="shared" si="1"/>
        <v>1835.9353762819576</v>
      </c>
      <c r="F15" s="987">
        <f t="shared" ca="1" si="1"/>
        <v>14651.337367462649</v>
      </c>
      <c r="G15" s="987">
        <f t="shared" si="1"/>
        <v>64347.213014183304</v>
      </c>
      <c r="H15" s="987">
        <f t="shared" si="1"/>
        <v>20370.562291580136</v>
      </c>
      <c r="I15" s="987">
        <f t="shared" si="1"/>
        <v>0</v>
      </c>
      <c r="J15" s="987">
        <f t="shared" si="1"/>
        <v>12.146730907158711</v>
      </c>
      <c r="K15" s="987">
        <f t="shared" si="1"/>
        <v>0</v>
      </c>
      <c r="L15" s="987">
        <f t="shared" ca="1" si="1"/>
        <v>0</v>
      </c>
      <c r="M15" s="987">
        <f t="shared" si="1"/>
        <v>4357.6093993368322</v>
      </c>
      <c r="N15" s="987">
        <f t="shared" ca="1" si="1"/>
        <v>9229.7454734933199</v>
      </c>
      <c r="O15" s="987">
        <f t="shared" si="1"/>
        <v>90.673333333333332</v>
      </c>
      <c r="P15" s="987">
        <f t="shared" si="1"/>
        <v>209.73333333333335</v>
      </c>
      <c r="Q15" s="987">
        <f t="shared" ca="1" si="1"/>
        <v>347402.42493888852</v>
      </c>
    </row>
    <row r="17" spans="1:17">
      <c r="A17" s="487" t="s">
        <v>556</v>
      </c>
      <c r="B17" s="786">
        <f ca="1">huishoudens!B10</f>
        <v>0.21570307423855445</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7170.3396476705084</v>
      </c>
      <c r="C22" s="477">
        <f t="shared" ref="C22:C32" ca="1" si="3">C4*$C$17</f>
        <v>0</v>
      </c>
      <c r="D22" s="477">
        <f t="shared" ref="D22:D32" si="4">D4*$D$17</f>
        <v>26711.276263606491</v>
      </c>
      <c r="E22" s="477">
        <f t="shared" ref="E22:E32" si="5">E4*$E$17</f>
        <v>214.76678028692578</v>
      </c>
      <c r="F22" s="477">
        <f t="shared" ref="F22:F32" si="6">F4*$F$17</f>
        <v>2728.9257161384817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36825.308407702403</v>
      </c>
    </row>
    <row r="23" spans="1:17">
      <c r="A23" s="476" t="s">
        <v>156</v>
      </c>
      <c r="B23" s="477">
        <f t="shared" ca="1" si="2"/>
        <v>3565.0586346724649</v>
      </c>
      <c r="C23" s="477">
        <f t="shared" ca="1" si="3"/>
        <v>0</v>
      </c>
      <c r="D23" s="477">
        <f t="shared" ca="1" si="4"/>
        <v>6761.913057302314</v>
      </c>
      <c r="E23" s="477">
        <f t="shared" si="5"/>
        <v>43.708217400798034</v>
      </c>
      <c r="F23" s="477">
        <f t="shared" ca="1" si="6"/>
        <v>753.46826260156809</v>
      </c>
      <c r="G23" s="477">
        <f t="shared" si="7"/>
        <v>0</v>
      </c>
      <c r="H23" s="477">
        <f t="shared" si="8"/>
        <v>0</v>
      </c>
      <c r="I23" s="477">
        <f t="shared" si="9"/>
        <v>0</v>
      </c>
      <c r="J23" s="477">
        <f t="shared" si="10"/>
        <v>8.9135735309320771E-3</v>
      </c>
      <c r="K23" s="477">
        <f t="shared" si="11"/>
        <v>0</v>
      </c>
      <c r="L23" s="477">
        <f t="shared" ca="1" si="12"/>
        <v>0</v>
      </c>
      <c r="M23" s="477">
        <f t="shared" si="13"/>
        <v>0</v>
      </c>
      <c r="N23" s="477">
        <f t="shared" ca="1" si="14"/>
        <v>0</v>
      </c>
      <c r="O23" s="477">
        <f t="shared" si="15"/>
        <v>0</v>
      </c>
      <c r="P23" s="478">
        <f t="shared" si="16"/>
        <v>0</v>
      </c>
      <c r="Q23" s="476">
        <f t="shared" ref="Q23:Q32" ca="1" si="17">SUM(B23:P23)</f>
        <v>11124.157085550674</v>
      </c>
    </row>
    <row r="24" spans="1:17">
      <c r="A24" s="476" t="s">
        <v>194</v>
      </c>
      <c r="B24" s="477">
        <f t="shared" ca="1" si="2"/>
        <v>252.44766152894371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252.44766152894371</v>
      </c>
    </row>
    <row r="25" spans="1:17">
      <c r="A25" s="476" t="s">
        <v>112</v>
      </c>
      <c r="B25" s="477">
        <f t="shared" ca="1" si="2"/>
        <v>17.420515916596461</v>
      </c>
      <c r="C25" s="477">
        <f t="shared" ca="1" si="3"/>
        <v>0</v>
      </c>
      <c r="D25" s="477">
        <f t="shared" si="4"/>
        <v>33.327874290678977</v>
      </c>
      <c r="E25" s="477">
        <f t="shared" si="5"/>
        <v>0.5388591389783487</v>
      </c>
      <c r="F25" s="477">
        <f t="shared" si="6"/>
        <v>89.831690308193799</v>
      </c>
      <c r="G25" s="477">
        <f t="shared" si="7"/>
        <v>0</v>
      </c>
      <c r="H25" s="477">
        <f t="shared" si="8"/>
        <v>0</v>
      </c>
      <c r="I25" s="477">
        <f t="shared" si="9"/>
        <v>0</v>
      </c>
      <c r="J25" s="477">
        <f t="shared" si="10"/>
        <v>4.1420177435965027</v>
      </c>
      <c r="K25" s="477">
        <f t="shared" si="11"/>
        <v>0</v>
      </c>
      <c r="L25" s="477">
        <f t="shared" si="12"/>
        <v>0</v>
      </c>
      <c r="M25" s="477">
        <f t="shared" si="13"/>
        <v>0</v>
      </c>
      <c r="N25" s="477">
        <f t="shared" si="14"/>
        <v>0</v>
      </c>
      <c r="O25" s="477">
        <f t="shared" si="15"/>
        <v>0</v>
      </c>
      <c r="P25" s="478">
        <f t="shared" si="16"/>
        <v>0</v>
      </c>
      <c r="Q25" s="476">
        <f t="shared" ca="1" si="17"/>
        <v>145.2609573980441</v>
      </c>
    </row>
    <row r="26" spans="1:17">
      <c r="A26" s="476" t="s">
        <v>635</v>
      </c>
      <c r="B26" s="477">
        <f t="shared" ca="1" si="2"/>
        <v>386.68076662784301</v>
      </c>
      <c r="C26" s="477">
        <f t="shared" ca="1" si="3"/>
        <v>0</v>
      </c>
      <c r="D26" s="477">
        <f t="shared" si="4"/>
        <v>542.59399542814151</v>
      </c>
      <c r="E26" s="477">
        <f t="shared" si="5"/>
        <v>104.07624597138643</v>
      </c>
      <c r="F26" s="477">
        <f t="shared" si="6"/>
        <v>339.68140806428408</v>
      </c>
      <c r="G26" s="477">
        <f t="shared" si="7"/>
        <v>0</v>
      </c>
      <c r="H26" s="477">
        <f t="shared" si="8"/>
        <v>0</v>
      </c>
      <c r="I26" s="477">
        <f t="shared" si="9"/>
        <v>0</v>
      </c>
      <c r="J26" s="477">
        <f t="shared" si="10"/>
        <v>0.14901142400674883</v>
      </c>
      <c r="K26" s="477">
        <f t="shared" si="11"/>
        <v>0</v>
      </c>
      <c r="L26" s="477">
        <f t="shared" si="12"/>
        <v>0</v>
      </c>
      <c r="M26" s="477">
        <f t="shared" si="13"/>
        <v>0</v>
      </c>
      <c r="N26" s="477">
        <f t="shared" si="14"/>
        <v>0</v>
      </c>
      <c r="O26" s="477">
        <f t="shared" si="15"/>
        <v>0</v>
      </c>
      <c r="P26" s="478">
        <f t="shared" si="16"/>
        <v>0</v>
      </c>
      <c r="Q26" s="476">
        <f t="shared" ca="1" si="17"/>
        <v>1373.1814275156619</v>
      </c>
    </row>
    <row r="27" spans="1:17" s="482" customFormat="1">
      <c r="A27" s="480" t="s">
        <v>561</v>
      </c>
      <c r="B27" s="780">
        <f t="shared" ca="1" si="2"/>
        <v>8.9903894036610463</v>
      </c>
      <c r="C27" s="481">
        <f t="shared" ca="1" si="3"/>
        <v>0</v>
      </c>
      <c r="D27" s="481">
        <f t="shared" si="4"/>
        <v>36.928876901165893</v>
      </c>
      <c r="E27" s="481">
        <f t="shared" si="5"/>
        <v>53.667227617915863</v>
      </c>
      <c r="F27" s="481">
        <f t="shared" si="6"/>
        <v>0</v>
      </c>
      <c r="G27" s="481">
        <f t="shared" si="7"/>
        <v>16726.529263731347</v>
      </c>
      <c r="H27" s="481">
        <f t="shared" si="8"/>
        <v>5072.2700106034536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21898.385768257544</v>
      </c>
    </row>
    <row r="28" spans="1:17">
      <c r="A28" s="476" t="s">
        <v>551</v>
      </c>
      <c r="B28" s="477">
        <f t="shared" ca="1" si="2"/>
        <v>0</v>
      </c>
      <c r="C28" s="477">
        <f t="shared" ca="1" si="3"/>
        <v>0</v>
      </c>
      <c r="D28" s="477">
        <f t="shared" si="4"/>
        <v>0</v>
      </c>
      <c r="E28" s="477">
        <f t="shared" si="5"/>
        <v>0</v>
      </c>
      <c r="F28" s="477">
        <f t="shared" si="6"/>
        <v>0</v>
      </c>
      <c r="G28" s="477">
        <f t="shared" si="7"/>
        <v>454.1766110555979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454.1766110555979</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426.2947152667291</v>
      </c>
      <c r="C32" s="477">
        <f t="shared" ca="1" si="3"/>
        <v>0</v>
      </c>
      <c r="D32" s="477">
        <f t="shared" si="4"/>
        <v>1762.1706102480764</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2188.4653255148055</v>
      </c>
    </row>
    <row r="33" spans="1:17" s="486" customFormat="1">
      <c r="A33" s="1039" t="s">
        <v>555</v>
      </c>
      <c r="B33" s="987">
        <f ca="1">SUM(B22:B32)</f>
        <v>11827.232331086747</v>
      </c>
      <c r="C33" s="987">
        <f t="shared" ref="C33:Q33" ca="1" si="18">SUM(C22:C32)</f>
        <v>0</v>
      </c>
      <c r="D33" s="987">
        <f t="shared" ca="1" si="18"/>
        <v>35848.210677776864</v>
      </c>
      <c r="E33" s="987">
        <f t="shared" si="18"/>
        <v>416.75733041600444</v>
      </c>
      <c r="F33" s="987">
        <f t="shared" ca="1" si="18"/>
        <v>3911.9070771125271</v>
      </c>
      <c r="G33" s="987">
        <f t="shared" si="18"/>
        <v>17180.705874786945</v>
      </c>
      <c r="H33" s="987">
        <f t="shared" si="18"/>
        <v>5072.2700106034536</v>
      </c>
      <c r="I33" s="987">
        <f t="shared" si="18"/>
        <v>0</v>
      </c>
      <c r="J33" s="987">
        <f t="shared" si="18"/>
        <v>4.2999427411341831</v>
      </c>
      <c r="K33" s="987">
        <f t="shared" si="18"/>
        <v>0</v>
      </c>
      <c r="L33" s="987">
        <f t="shared" ca="1" si="18"/>
        <v>0</v>
      </c>
      <c r="M33" s="987">
        <f t="shared" si="18"/>
        <v>0</v>
      </c>
      <c r="N33" s="987">
        <f t="shared" ca="1" si="18"/>
        <v>0</v>
      </c>
      <c r="O33" s="987">
        <f t="shared" si="18"/>
        <v>0</v>
      </c>
      <c r="P33" s="987">
        <f t="shared" si="18"/>
        <v>0</v>
      </c>
      <c r="Q33" s="987">
        <f t="shared" ca="1" si="18"/>
        <v>74261.383244523662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60">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1314.19074907348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854</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1314.19074907348</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855</v>
      </c>
      <c r="B12" s="786" t="s">
        <v>856</v>
      </c>
      <c r="C12" s="786">
        <f ca="1">'EF ele_warmte'!B12</f>
        <v>0.21570307423855445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861</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862</v>
      </c>
      <c r="B22" s="786" t="s">
        <v>856</v>
      </c>
      <c r="C22" s="786">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848</v>
      </c>
    </row>
    <row r="2" spans="1:16" ht="15.75">
      <c r="A2" s="1187"/>
      <c r="B2" s="1188"/>
      <c r="C2" s="1188"/>
      <c r="D2" s="1189" t="s">
        <v>197</v>
      </c>
      <c r="E2" s="1189"/>
      <c r="F2" s="1189"/>
      <c r="G2" s="1189"/>
      <c r="H2" s="1189"/>
      <c r="I2" s="1054" t="s">
        <v>849</v>
      </c>
      <c r="J2" s="1054" t="s">
        <v>234</v>
      </c>
      <c r="K2" s="1054" t="s">
        <v>850</v>
      </c>
      <c r="L2" s="1054" t="s">
        <v>839</v>
      </c>
      <c r="M2" s="1054" t="s">
        <v>245</v>
      </c>
      <c r="N2" s="1054" t="s">
        <v>851</v>
      </c>
      <c r="O2" s="1054" t="s">
        <v>127</v>
      </c>
      <c r="P2" s="1188"/>
    </row>
    <row r="3" spans="1:16" ht="30">
      <c r="A3" s="1187"/>
      <c r="B3" s="1054" t="s">
        <v>852</v>
      </c>
      <c r="C3" s="1054" t="s">
        <v>853</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863</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864</v>
      </c>
    </row>
    <row r="5" spans="1:16" ht="135">
      <c r="A5" s="1069" t="s">
        <v>250</v>
      </c>
      <c r="B5" s="1066" t="s">
        <v>863</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864</v>
      </c>
    </row>
    <row r="6" spans="1:16" ht="135">
      <c r="A6" s="1069" t="s">
        <v>251</v>
      </c>
      <c r="B6" s="1066" t="s">
        <v>863</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864</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864</v>
      </c>
    </row>
    <row r="8" spans="1:16" ht="210">
      <c r="A8" s="1065" t="s">
        <v>252</v>
      </c>
      <c r="B8" s="1066" t="s">
        <v>865</v>
      </c>
      <c r="C8" s="1066" t="s">
        <v>865</v>
      </c>
      <c r="D8" s="1066" t="s">
        <v>865</v>
      </c>
      <c r="E8" s="1066" t="s">
        <v>865</v>
      </c>
      <c r="F8" s="1066" t="s">
        <v>865</v>
      </c>
      <c r="G8" s="1066" t="s">
        <v>865</v>
      </c>
      <c r="H8" s="1066" t="s">
        <v>865</v>
      </c>
      <c r="I8" s="1066" t="s">
        <v>865</v>
      </c>
      <c r="J8" s="1066" t="s">
        <v>865</v>
      </c>
      <c r="K8" s="1067" t="s">
        <v>820</v>
      </c>
      <c r="L8" s="1067" t="s">
        <v>820</v>
      </c>
      <c r="M8" s="1067" t="s">
        <v>820</v>
      </c>
      <c r="N8" s="1066" t="s">
        <v>866</v>
      </c>
      <c r="O8" s="1066" t="s">
        <v>866</v>
      </c>
      <c r="P8" s="1070"/>
    </row>
    <row r="9" spans="1:16" ht="210">
      <c r="A9" s="1071" t="s">
        <v>854</v>
      </c>
      <c r="B9" s="1066" t="s">
        <v>866</v>
      </c>
      <c r="C9" s="1066" t="s">
        <v>866</v>
      </c>
      <c r="D9" s="1066" t="s">
        <v>866</v>
      </c>
      <c r="E9" s="1066" t="s">
        <v>866</v>
      </c>
      <c r="F9" s="1066" t="s">
        <v>866</v>
      </c>
      <c r="G9" s="1066" t="s">
        <v>866</v>
      </c>
      <c r="H9" s="1066" t="s">
        <v>866</v>
      </c>
      <c r="I9" s="1066" t="s">
        <v>866</v>
      </c>
      <c r="J9" s="1066" t="s">
        <v>866</v>
      </c>
      <c r="K9" s="1067" t="s">
        <v>820</v>
      </c>
      <c r="L9" s="1066" t="s">
        <v>866</v>
      </c>
      <c r="M9" s="1066" t="s">
        <v>866</v>
      </c>
      <c r="N9" s="1066" t="s">
        <v>866</v>
      </c>
      <c r="O9" s="1066" t="s">
        <v>866</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855</v>
      </c>
      <c r="B12" s="786" t="s">
        <v>856</v>
      </c>
      <c r="C12" s="1073" t="s">
        <v>867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857</v>
      </c>
    </row>
    <row r="15" spans="1:16">
      <c r="A15" s="1187"/>
      <c r="B15" s="1188"/>
      <c r="C15" s="1188"/>
      <c r="D15" s="1190" t="s">
        <v>197</v>
      </c>
      <c r="E15" s="1190"/>
      <c r="F15" s="1190"/>
      <c r="G15" s="1190"/>
      <c r="H15" s="1190"/>
      <c r="I15" s="1188" t="s">
        <v>849</v>
      </c>
      <c r="J15" s="1188" t="s">
        <v>234</v>
      </c>
      <c r="K15" s="1188" t="s">
        <v>850</v>
      </c>
      <c r="L15" s="1188" t="s">
        <v>839</v>
      </c>
      <c r="M15" s="1188" t="s">
        <v>245</v>
      </c>
      <c r="N15" s="1188" t="s">
        <v>858</v>
      </c>
      <c r="O15" s="1188" t="s">
        <v>127</v>
      </c>
      <c r="P15" s="1188"/>
    </row>
    <row r="16" spans="1:16" ht="30">
      <c r="A16" s="1187"/>
      <c r="B16" s="1054" t="s">
        <v>859</v>
      </c>
      <c r="C16" s="1054" t="s">
        <v>860</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866</v>
      </c>
      <c r="C17" s="1066" t="s">
        <v>866</v>
      </c>
      <c r="D17" s="1066" t="s">
        <v>866</v>
      </c>
      <c r="E17" s="1066" t="s">
        <v>866</v>
      </c>
      <c r="F17" s="1066" t="s">
        <v>866</v>
      </c>
      <c r="G17" s="1066" t="s">
        <v>866</v>
      </c>
      <c r="H17" s="1066" t="s">
        <v>866</v>
      </c>
      <c r="I17" s="1066" t="s">
        <v>866</v>
      </c>
      <c r="J17" s="1066" t="s">
        <v>866</v>
      </c>
      <c r="K17" s="1067" t="s">
        <v>820</v>
      </c>
      <c r="L17" s="1067" t="s">
        <v>820</v>
      </c>
      <c r="M17" s="1067" t="s">
        <v>820</v>
      </c>
      <c r="N17" s="1066" t="s">
        <v>866</v>
      </c>
      <c r="O17" s="1066" t="s">
        <v>866</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861</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862</v>
      </c>
      <c r="B22" s="786" t="s">
        <v>856</v>
      </c>
      <c r="C22" s="1073" t="s">
        <v>868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0.21570307423855445</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2019-08-12T08:32:33Z</dcterms:modified>
</cp:coreProperties>
</file>