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<sst xmlns="http://schemas.openxmlformats.org/spreadsheetml/2006/main" count="2383" uniqueCount="881">
  <si>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</si>
  <si>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</si>
  <si>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</si>
  <si>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</si>
  <si>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</si>
  <si>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</si>
  <si>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</si>
  <si>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</si>
  <si>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</si>
  <si>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</si>
  <si>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</si>
  <si>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</si>
  <si>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</si>
  <si>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</si>
  <si>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</si>
  <si>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</si>
  <si>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</si>
  <si>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</si>
  <si>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</si>
  <si>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</si>
  <si>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</si>
  <si>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</si>
  <si>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</si>
  <si>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</si>
  <si>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</si>
  <si>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</si>
  <si>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</si>
  <si>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</si>
  <si>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</si>
  <si>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</si>
  <si>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</si>
  <si>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</si>
  <si>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</si>
  <si>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</si>
  <si>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</si>
  <si>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</si>
  <si>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</si>
  <si>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</si>
  <si>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</si>
  <si>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</si>
  <si>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</si>
  <si>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</si>
  <si>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</si>
  <si>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</si>
  <si>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</si>
  <si>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</si>
  <si>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</si>
  <si>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</si>
  <si>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</si>
  <si>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</si>
  <si>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</si>
  <si>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</si>
  <si>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</si>
  <si>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</si>
  <si>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</si>
  <si>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</si>
  <si>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</si>
  <si>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</si>
  <si>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</si>
  <si>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</si>
  <si>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</si>
  <si>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</si>
  <si>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</si>
  <si>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</si>
  <si>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</si>
  <si>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</si>
  <si>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</si>
  <si>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</si>
  <si>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</si>
  <si>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</si>
  <si>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</si>
  <si>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</si>
  <si>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</si>
  <si>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</si>
  <si>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</si>
  <si>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</si>
  <si>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</si>
  <si>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</si>
  <si>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</si>
  <si>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</si>
  <si>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</si>
  <si>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</si>
  <si>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</si>
  <si>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</si>
  <si>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</si>
  <si>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</si>
  <si>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</si>
  <si>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</si>
  <si>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</si>
  <si>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</si>
  <si>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</si>
  <si>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</si>
  <si>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</si>
  <si>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</si>
  <si>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</si>
  <si>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</si>
  <si>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</si>
  <si>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</si>
  <si>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</si>
  <si>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</si>
  <si>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</si>
  <si>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</si>
  <si>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</si>
  <si>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</si>
  <si>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</si>
  <si>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</si>
  <si>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</si>
  <si>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</si>
  <si>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</si>
  <si>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</si>
  <si>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</si>
  <si>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</si>
  <si>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</si>
  <si>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</si>
  <si>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</si>
  <si>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</si>
  <si>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</si>
  <si>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</si>
  <si>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</si>
  <si>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</si>
  <si>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</si>
  <si>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</si>
  <si>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</si>
  <si>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</si>
  <si>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</si>
  <si>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</si>
  <si>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</si>
  <si>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</si>
  <si>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</si>
  <si>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</si>
  <si>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</si>
  <si>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</si>
  <si>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</si>
  <si>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</si>
  <si>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</si>
  <si>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</si>
  <si>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</si>
  <si>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</si>
  <si>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</si>
  <si>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</si>
  <si>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</si>
  <si>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</si>
  <si>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</si>
  <si>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</si>
  <si>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</si>
  <si>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</si>
  <si>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</si>
  <si>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</si>
  <si>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</si>
  <si>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</si>
  <si>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</si>
  <si>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</si>
  <si>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</si>
  <si>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</si>
  <si>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</si>
  <si>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</si>
  <si>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</si>
  <si>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</si>
  <si>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</si>
  <si>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</si>
  <si>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</si>
  <si>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</si>
  <si>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</si>
  <si>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</si>
  <si>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</si>
  <si>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</si>
  <si>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</si>
  <si>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</si>
  <si>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</si>
  <si>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</si>
  <si>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</si>
  <si>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</si>
  <si>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</si>
  <si>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</si>
  <si>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</si>
  <si>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</si>
  <si>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</si>
  <si>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</si>
  <si>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</si>
  <si>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</si>
  <si>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</si>
  <si>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</si>
  <si>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</si>
  <si>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</si>
  <si>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</si>
  <si>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</si>
  <si>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</si>
  <si>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</si>
  <si>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</si>
  <si>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</si>
  <si>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</si>
  <si>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</si>
  <si>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</si>
  <si>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</si>
  <si>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</si>
  <si>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</si>
  <si>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</si>
  <si>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</si>
  <si>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</si>
  <si>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</si>
  <si>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</si>
  <si>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</si>
  <si>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</si>
  <si>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</si>
  <si>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</si>
  <si>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</si>
  <si>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</si>
  <si>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</si>
  <si>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</si>
  <si>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</si>
  <si>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</si>
  <si>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</si>
  <si>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</si>
  <si>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</si>
  <si>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</si>
  <si>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</si>
  <si>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</si>
  <si>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</si>
  <si>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</si>
  <si>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</si>
  <si>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</si>
  <si>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</si>
  <si>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</si>
  <si>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</si>
  <si>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</si>
  <si>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</si>
  <si>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</si>
  <si>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</si>
  <si>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</si>
  <si>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</si>
  <si>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</si>
  <si>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</si>
  <si>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</si>
  <si>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</si>
  <si>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</si>
  <si>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</si>
  <si>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</si>
  <si>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</si>
  <si>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</si>
  <si>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</si>
  <si>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</si>
  <si>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</si>
  <si>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</si>
  <si>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</si>
  <si>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</si>
  <si>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</si>
  <si>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</si>
  <si>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</si>
  <si>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</si>
  <si>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</si>
  <si>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</si>
  <si>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</si>
  <si>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</si>
  <si>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</si>
  <si>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</si>
  <si>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</si>
  <si>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</si>
  <si>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</si>
  <si>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</si>
  <si>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</si>
  <si>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</si>
  <si>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</si>
  <si>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</si>
  <si>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</si>
  <si>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</si>
  <si>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</si>
  <si>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</si>
  <si>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</si>
  <si>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</si>
  <si>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</si>
  <si>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</si>
  <si>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</si>
  <si>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</si>
  <si>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</si>
  <si>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</si>
  <si>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</si>
  <si>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</si>
  <si>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</si>
  <si>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</si>
  <si>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</si>
  <si>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</si>
  <si>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</si>
  <si>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</si>
  <si>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</si>
  <si>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</si>
  <si>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</si>
  <si>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</si>
  <si>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</si>
  <si>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</si>
  <si>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</si>
  <si>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</si>
  <si>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</si>
  <si>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</si>
  <si>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</si>
  <si>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</si>
  <si>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</si>
  <si>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</si>
  <si>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</si>
  <si>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</si>
  <si>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</si>
  <si>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</si>
  <si>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</si>
  <si>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</si>
  <si>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</si>
  <si>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</si>
  <si>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</si>
  <si>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</si>
  <si>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</si>
  <si>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</si>
  <si>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</si>
  <si>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</si>
  <si>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</si>
  <si>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</si>
  <si>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</si>
  <si>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</si>
  <si>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</si>
  <si>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</si>
  <si>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</si>
  <si>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</si>
  <si>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</si>
  <si>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</si>
  <si>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</si>
  <si>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</si>
  <si>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</si>
  <si>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</si>
  <si>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</si>
  <si>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</si>
  <si>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</si>
  <si>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</si>
  <si>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</si>
  <si>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</si>
  <si>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</si>
  <si>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</si>
  <si>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</si>
  <si>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</si>
  <si>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</si>
  <si>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</si>
  <si>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</si>
  <si>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</si>
  <si>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</si>
  <si>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</si>
  <si>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</si>
  <si>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</si>
  <si>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</si>
  <si>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</si>
  <si>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</si>
  <si>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</si>
  <si>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</si>
  <si>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</si>
  <si>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</si>
  <si>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</si>
  <si>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</si>
  <si>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</si>
  <si>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</si>
  <si>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</si>
  <si>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</si>
  <si>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</si>
  <si>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</si>
  <si>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</si>
  <si>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</si>
  <si>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</si>
  <si>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</si>
  <si>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</si>
  <si>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</si>
  <si>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</si>
  <si>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</si>
  <si>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</si>
  <si>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</si>
  <si>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</si>
  <si>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</si>
  <si>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</si>
  <si>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</si>
  <si>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</si>
  <si>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</si>
  <si>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</si>
  <si>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</si>
  <si>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</si>
  <si>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</si>
  <si>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</si>
  <si>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</si>
  <si>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</si>
  <si>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</si>
  <si>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</si>
  <si>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</si>
  <si>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</si>
  <si>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</si>
  <si>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</si>
  <si>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</si>
  <si>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</si>
  <si>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</si>
  <si>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</si>
  <si>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</si>
  <si>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</si>
  <si>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</si>
  <si>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</si>
  <si>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</si>
  <si>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</si>
  <si>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</si>
  <si>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</si>
  <si>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</si>
  <si>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</si>
  <si>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</si>
  <si>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</si>
  <si>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</si>
  <si>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</si>
  <si>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</si>
  <si>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</si>
  <si>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</si>
  <si>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</si>
  <si>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</si>
  <si>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</si>
  <si>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</si>
  <si>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</si>
  <si>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</si>
  <si>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</si>
  <si>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</si>
  <si>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</si>
  <si>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</si>
  <si>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</si>
  <si>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</si>
  <si>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</si>
  <si>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</si>
  <si>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</si>
  <si>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</si>
  <si>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</si>
  <si>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</si>
  <si>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</si>
  <si>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</si>
  <si>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</si>
  <si>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</si>
  <si>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</si>
  <si>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</si>
  <si>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</si>
  <si>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</si>
  <si>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</si>
  <si>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</si>
  <si>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</si>
  <si>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</si>
  <si>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</si>
  <si>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</si>
  <si>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</si>
  <si>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</si>
  <si>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</si>
  <si>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</si>
  <si>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</si>
  <si>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</si>
  <si>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</si>
  <si>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</si>
  <si>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</si>
  <si>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</si>
  <si>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</si>
  <si>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</si>
  <si>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</si>
  <si>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</si>
  <si>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</si>
  <si>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</si>
  <si>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</si>
  <si>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</si>
  <si>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</si>
  <si>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</si>
  <si>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</si>
  <si>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</si>
  <si>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</si>
  <si>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</si>
  <si>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</si>
  <si>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</si>
  <si>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</si>
  <si>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</si>
  <si>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</si>
  <si>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</si>
  <si>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</si>
  <si>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</si>
  <si>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</si>
  <si>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</si>
  <si>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</si>
  <si>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</si>
  <si>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</si>
  <si>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</si>
  <si>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</si>
  <si>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</si>
  <si>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</si>
  <si>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</si>
  <si>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</si>
  <si>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</si>
  <si>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</si>
  <si>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</si>
  <si>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</si>
  <si>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</si>
  <si>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</si>
  <si>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</si>
  <si>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</si>
  <si>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</si>
  <si>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</si>
  <si>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</si>
  <si>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</si>
  <si>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</si>
  <si>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</si>
  <si>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</si>
  <si>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</si>
  <si>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</si>
  <si>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</si>
  <si>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</si>
  <si>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</si>
  <si>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</si>
  <si>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</si>
  <si>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</si>
  <si>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</si>
  <si>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</si>
  <si>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</si>
  <si>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</si>
  <si>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</si>
  <si>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</si>
  <si>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</si>
  <si>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</si>
  <si>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</si>
  <si>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</si>
  <si>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</si>
  <si>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</si>
  <si>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</si>
  <si>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</si>
  <si>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</si>
  <si>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</si>
  <si>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</si>
  <si>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</si>
  <si>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</si>
  <si>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</si>
  <si>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</si>
  <si>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</si>
  <si>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</si>
  <si>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</si>
  <si>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</si>
  <si>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</si>
  <si>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</si>
  <si>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</si>
  <si>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</si>
  <si>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</si>
  <si>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</si>
  <si>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</si>
  <si>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</si>
  <si>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</si>
  <si>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</si>
  <si>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</si>
  <si>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</si>
  <si>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</si>
  <si>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</si>
  <si>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</si>
  <si>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</si>
  <si>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</si>
  <si>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</si>
  <si>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</si>
  <si>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</si>
  <si>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</si>
  <si>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</si>
  <si>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</si>
  <si>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</si>
  <si>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</si>
  <si>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</si>
  <si>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</si>
  <si>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</si>
  <si>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</si>
  <si>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</si>
  <si>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</si>
  <si>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</si>
  <si>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</si>
  <si>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</si>
  <si>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</si>
  <si>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</si>
  <si>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</si>
  <si>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</si>
  <si>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</si>
  <si>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</si>
  <si>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</si>
  <si>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</si>
  <si>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</si>
  <si>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</si>
  <si>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</si>
  <si>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</si>
  <si>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</si>
  <si>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</si>
  <si>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</si>
  <si>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</si>
  <si>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</si>
  <si>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</si>
  <si>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</si>
  <si>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</si>
  <si>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</si>
  <si>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</si>
  <si>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</si>
  <si>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</si>
  <si>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</si>
  <si>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</si>
  <si>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</si>
  <si>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</si>
  <si>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</si>
  <si>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</si>
  <si>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</si>
  <si>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</si>
  <si>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</si>
  <si>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</si>
  <si>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</si>
  <si>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</si>
  <si>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</si>
  <si>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</si>
  <si>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</si>
  <si>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</si>
  <si>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</si>
  <si>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</si>
  <si>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</si>
  <si>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</si>
  <si>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</si>
  <si>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</si>
  <si>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</si>
  <si>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</si>
  <si>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</si>
  <si>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</si>
  <si>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</si>
  <si>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</si>
  <si>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</si>
  <si>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</si>
  <si>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</si>
  <si>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</si>
  <si>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</si>
  <si>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</si>
  <si>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</si>
  <si>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</si>
  <si>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</si>
  <si>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</si>
  <si>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</si>
  <si>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</si>
  <si>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</si>
  <si>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</si>
  <si>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</si>
  <si>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</si>
  <si>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</si>
  <si>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</si>
  <si>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</si>
  <si>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</si>
  <si>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</si>
  <si>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</si>
  <si>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</si>
  <si>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</si>
  <si>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</si>
  <si>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</si>
  <si>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</si>
  <si>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</si>
  <si>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</si>
  <si>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</si>
  <si>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</si>
  <si>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</si>
  <si>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</si>
  <si>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</si>
  <si>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</si>
  <si>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</si>
  <si>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</si>
  <si>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</si>
  <si>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</si>
  <si>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</si>
  <si>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</si>
  <si>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</si>
  <si>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</si>
  <si>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</si>
  <si>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</si>
  <si>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</si>
  <si>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</si>
  <si>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</si>
  <si>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</si>
  <si>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</si>
  <si>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</si>
  <si>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</si>
  <si>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</si>
  <si>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</si>
  <si>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</si>
  <si>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</si>
  <si>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</si>
  <si>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</si>
  <si>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</si>
  <si>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</si>
  <si>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</si>
  <si>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</si>
  <si>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</si>
  <si>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</si>
  <si>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</si>
  <si>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</si>
  <si>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</si>
  <si>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</si>
  <si>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</si>
  <si>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</si>
  <si>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</si>
  <si>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</si>
  <si>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</si>
  <si>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</si>
  <si>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</si>
  <si>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</si>
  <si>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</si>
  <si>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</si>
  <si>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</si>
  <si>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</si>
  <si>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</si>
  <si>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</si>
  <si>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</si>
  <si>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</si>
  <si>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</si>
  <si>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</si>
  <si>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</si>
  <si>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</si>
  <si>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</si>
  <si>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</si>
  <si>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</si>
  <si>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</si>
  <si>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</si>
  <si>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</si>
  <si>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</si>
  <si>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</si>
  <si>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</si>
  <si>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</si>
  <si>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</si>
  <si>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</si>
  <si>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</si>
  <si>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</si>
  <si>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</si>
  <si>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</si>
  <si>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</si>
  <si>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</si>
  <si>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</si>
  <si>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</si>
  <si>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</si>
  <si>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</si>
  <si>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</si>
  <si>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</si>
  <si>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</si>
  <si>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</si>
  <si>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</si>
  <si>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</si>
  <si>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</si>
  <si>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</si>
  <si>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</si>
  <si>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</si>
  <si>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</si>
  <si>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</si>
  <si>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</si>
  <si>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</si>
  <si>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</si>
  <si>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</si>
  <si>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</si>
  <si>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</si>
  <si>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</si>
  <si>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</si>
  <si>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</si>
  <si>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</si>
  <si>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</si>
  <si>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</si>
  <si>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</si>
  <si>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</si>
  <si>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</si>
  <si>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</si>
  <si>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</si>
  <si>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</si>
  <si>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</si>
  <si>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</si>
  <si>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</si>
  <si>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</si>
  <si>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</si>
  <si>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</si>
  <si>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</si>
  <si>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</si>
  <si>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</si>
  <si>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</si>
  <si>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</si>
  <si>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</si>
  <si>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</si>
  <si>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</si>
  <si>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</si>
  <si>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</si>
  <si>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</si>
  <si>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</si>
  <si>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</si>
  <si>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</si>
  <si>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</si>
  <si>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</si>
  <si>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</si>
  <si>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</si>
  <si>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</si>
  <si>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</si>
  <si>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</si>
  <si>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</si>
  <si>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</si>
  <si>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</si>
  <si>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</si>
  <si>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</si>
  <si>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</si>
  <si>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</si>
  <si>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</si>
  <si>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</si>
  <si>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</si>
  <si>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</si>
  <si>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</si>
  <si>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</si>
  <si>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</si>
  <si>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</si>
  <si>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</si>
  <si>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</si>
  <si>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</si>
  <si>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</si>
  <si>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</si>
  <si>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</si>
  <si>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</si>
  <si>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</si>
  <si>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</si>
  <si>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</si>
  <si>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</si>
  <si>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</si>
  <si>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</si>
  <si>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</si>
  <si>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</si>
  <si>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</si>
  <si>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</si>
  <si>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</si>
  <si>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</si>
  <si>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</si>
  <si>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</si>
  <si>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</si>
  <si>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</si>
  <si>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</si>
  <si>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</si>
  <si>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</si>
  <si>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</si>
  <si>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</si>
  <si>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</si>
  <si>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</si>
  <si>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</si>
  <si>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</si>
  <si>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</si>
  <si>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</si>
  <si>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</si>
  <si>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</si>
  <si>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</si>
  <si>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</si>
  <si>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</si>
  <si>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</si>
  <si>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</si>
  <si>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</si>
  <si>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</si>
  <si>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</si>
  <si>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</si>
  <si>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</si>
  <si>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</si>
  <si>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</si>
  <si>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</si>
  <si>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</si>
  <si>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</si>
  <si>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</si>
  <si>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</si>
  <si>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</si>
  <si>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</si>
  <si>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</si>
  <si>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</si>
  <si>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</si>
  <si>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</si>
  <si>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</si>
  <si>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</si>
  <si>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</si>
  <si>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</si>
  <si>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</si>
  <si>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</si>
  <si>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</si>
  <si>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</si>
  <si>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</si>
  <si>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</si>
  <si>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</si>
  <si>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</si>
  <si>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</si>
  <si>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</si>
  <si>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</si>
  <si>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23098</t>
  </si>
  <si>
    <t>DROGENBOS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</si>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</sst>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35037.918163840281</c:v>
                </c:pt>
                <c:pt idx="1">
                  <c:v>43026.584594548323</c:v>
                </c:pt>
                <c:pt idx="2">
                  <c:v>275.125</c:v>
                </c:pt>
                <c:pt idx="3">
                  <c:v>4.6602185053736829</c:v>
                </c:pt>
                <c:pt idx="4">
                  <c:v>101754.08856832488</c:v>
                </c:pt>
                <c:pt idx="5">
                  <c:v>74309.07307484909</c:v>
                </c:pt>
                <c:pt idx="6">
                  <c:v>1347.9884638575857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35037.918163840281</c:v>
                </c:pt>
                <c:pt idx="1">
                  <c:v>43026.584594548323</c:v>
                </c:pt>
                <c:pt idx="2">
                  <c:v>275.125</c:v>
                </c:pt>
                <c:pt idx="3">
                  <c:v>4.6602185053736829</c:v>
                </c:pt>
                <c:pt idx="4">
                  <c:v>101754.08856832488</c:v>
                </c:pt>
                <c:pt idx="5">
                  <c:v>74309.07307484909</c:v>
                </c:pt>
                <c:pt idx="6">
                  <c:v>1347.9884638575857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6990.5017803087476</c:v>
                </c:pt>
                <c:pt idx="2">
                  <c:v>9120.2217434986724</c:v>
                </c:pt>
                <c:pt idx="3">
                  <c:v>59.660834654244489</c:v>
                </c:pt>
                <c:pt idx="4">
                  <c:v>1.2104875751056619</c:v>
                </c:pt>
                <c:pt idx="5">
                  <c:v>19652.249750805113</c:v>
                </c:pt>
                <c:pt idx="6">
                  <c:v>18580.310486192713</c:v>
                </c:pt>
                <c:pt idx="7">
                  <c:v>340.57004477900489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6990.5017803087476</c:v>
                </c:pt>
                <c:pt idx="2">
                  <c:v>9120.2217434986724</c:v>
                </c:pt>
                <c:pt idx="3">
                  <c:v>59.660834654244489</c:v>
                </c:pt>
                <c:pt idx="4">
                  <c:v>1.2104875751056619</c:v>
                </c:pt>
                <c:pt idx="5">
                  <c:v>19652.249750805113</c:v>
                </c:pt>
                <c:pt idx="6">
                  <c:v>18580.310486192713</c:v>
                </c:pt>
                <c:pt idx="7">
                  <c:v>340.57004477900489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19872.286054734112</v>
      </c>
      <c r="D10" s="1013">
        <f ca="1">tertiair!C16</f>
        <v>0</v>
      </c>
      <c r="E10" s="1013">
        <f ca="1">tertiair!D16</f>
        <v>19186.695881426818</v>
      </c>
      <c r="F10" s="1013">
        <f>tertiair!E16</f>
        <v>403.3695253480505</v>
      </c>
      <c r="G10" s="1013">
        <f ca="1">tertiair!F16</f>
        <v>3383.1369509275455</v>
      </c>
      <c r="H10" s="1013">
        <f>tertiair!G16</f>
        <v>0</v>
      </c>
      <c r="I10" s="1013">
        <f>tertiair!H16</f>
        <v>0</v>
      </c>
      <c r="J10" s="1013">
        <f>tertiair!I16</f>
        <v>0</v>
      </c>
      <c r="K10" s="1013">
        <f>tertiair!J16</f>
        <v>1.0991090217233384E-2</v>
      </c>
      <c r="L10" s="1013">
        <f>tertiair!K16</f>
        <v>0</v>
      </c>
      <c r="M10" s="1013">
        <f ca="1">tertiair!L16</f>
        <v>0</v>
      </c>
      <c r="N10" s="1013">
        <f>tertiair!M16</f>
        <v>0</v>
      </c>
      <c r="O10" s="1013">
        <f ca="1">tertiair!N16</f>
        <v>456.21019102158482</v>
      </c>
      <c r="P10" s="1013">
        <f>tertiair!O16</f>
        <v>0</v>
      </c>
      <c r="Q10" s="1014">
        <f>tertiair!P16</f>
        <v>0</v>
      </c>
      <c r="R10" s="700">
        <f ca="1">SUM(C10:Q10)</f>
        <v>43301.709594548323</v>
      </c>
      <c r="S10" s="67"/>
    </row>
    <row r="11" spans="1:19" s="473" customFormat="1">
      <c r="A11" s="809" t="s">
        <v>225</v>
      </c>
      <c r="B11" s="814"/>
      <c r="C11" s="1013">
        <f>huishoudens!B8</f>
        <v>6956.9791874604171</v>
      </c>
      <c r="D11" s="1013">
        <f>huishoudens!C8</f>
        <v>0</v>
      </c>
      <c r="E11" s="1013">
        <f>huishoudens!D8</f>
        <v>26870.345205529877</v>
      </c>
      <c r="F11" s="1013">
        <f>huishoudens!E8</f>
        <v>238.20113689170267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947.07263395828272</v>
      </c>
      <c r="P11" s="1013">
        <f>huishoudens!O8</f>
        <v>6.2533333333333339</v>
      </c>
      <c r="Q11" s="1014">
        <f>huishoudens!P8</f>
        <v>19.066666666666666</v>
      </c>
      <c r="R11" s="700">
        <f>SUM(C11:Q11)</f>
        <v>35037.918163840281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25038.409925532211</v>
      </c>
      <c r="D13" s="1013">
        <f>industrie!C18</f>
        <v>0</v>
      </c>
      <c r="E13" s="1013">
        <f>industrie!D18</f>
        <v>62152.720020971981</v>
      </c>
      <c r="F13" s="1013">
        <f>industrie!E18</f>
        <v>1391.4647294632821</v>
      </c>
      <c r="G13" s="1013">
        <f>industrie!F18</f>
        <v>4952.1430576237553</v>
      </c>
      <c r="H13" s="1013">
        <f>industrie!G18</f>
        <v>0</v>
      </c>
      <c r="I13" s="1013">
        <f>industrie!H18</f>
        <v>0</v>
      </c>
      <c r="J13" s="1013">
        <f>industrie!I18</f>
        <v>0</v>
      </c>
      <c r="K13" s="1013">
        <f>industrie!J18</f>
        <v>84.00675033018905</v>
      </c>
      <c r="L13" s="1013">
        <f>industrie!K18</f>
        <v>0</v>
      </c>
      <c r="M13" s="1013">
        <f>industrie!L18</f>
        <v>0</v>
      </c>
      <c r="N13" s="1013">
        <f>industrie!M18</f>
        <v>0</v>
      </c>
      <c r="O13" s="1013">
        <f>industrie!N18</f>
        <v>8135.3440844034503</v>
      </c>
      <c r="P13" s="1013">
        <f>industrie!O18</f>
        <v>0</v>
      </c>
      <c r="Q13" s="1014">
        <f>industrie!P18</f>
        <v>0</v>
      </c>
      <c r="R13" s="700">
        <f>SUM(C13:Q13)</f>
        <v>101754.08856832488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51867.675167726738</v>
      </c>
      <c r="D16" s="732">
        <f t="shared" ref="D16:R16" ca="1" si="0">SUM(D9:D15)</f>
        <v>0</v>
      </c>
      <c r="E16" s="732">
        <f t="shared" ca="1" si="0"/>
        <v>108209.76110792867</v>
      </c>
      <c r="F16" s="732">
        <f t="shared" si="0"/>
        <v>2033.0353917030352</v>
      </c>
      <c r="G16" s="732">
        <f t="shared" ca="1" si="0"/>
        <v>8335.2800085513009</v>
      </c>
      <c r="H16" s="732">
        <f t="shared" si="0"/>
        <v>0</v>
      </c>
      <c r="I16" s="732">
        <f t="shared" si="0"/>
        <v>0</v>
      </c>
      <c r="J16" s="732">
        <f t="shared" si="0"/>
        <v>0</v>
      </c>
      <c r="K16" s="732">
        <f t="shared" si="0"/>
        <v>84.017741420406281</v>
      </c>
      <c r="L16" s="732">
        <f t="shared" si="0"/>
        <v>0</v>
      </c>
      <c r="M16" s="732">
        <f t="shared" ca="1" si="0"/>
        <v>0</v>
      </c>
      <c r="N16" s="732">
        <f t="shared" si="0"/>
        <v>0</v>
      </c>
      <c r="O16" s="732">
        <f t="shared" ca="1" si="0"/>
        <v>9538.626909383318</v>
      </c>
      <c r="P16" s="732">
        <f t="shared" si="0"/>
        <v>6.2533333333333339</v>
      </c>
      <c r="Q16" s="732">
        <f t="shared" si="0"/>
        <v>19.066666666666666</v>
      </c>
      <c r="R16" s="732">
        <f t="shared" ca="1" si="0"/>
        <v>180093.7163267135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1275.5432388726774</v>
      </c>
      <c r="I19" s="1013">
        <f>transport!H54</f>
        <v>0</v>
      </c>
      <c r="J19" s="1013">
        <f>transport!I54</f>
        <v>0</v>
      </c>
      <c r="K19" s="1013">
        <f>transport!J54</f>
        <v>0</v>
      </c>
      <c r="L19" s="1013">
        <f>transport!K54</f>
        <v>0</v>
      </c>
      <c r="M19" s="1013">
        <f>transport!L54</f>
        <v>0</v>
      </c>
      <c r="N19" s="1013">
        <f>transport!M54</f>
        <v>72.445224984908251</v>
      </c>
      <c r="O19" s="1013">
        <f>transport!N54</f>
        <v>0</v>
      </c>
      <c r="P19" s="1013">
        <f>transport!O54</f>
        <v>0</v>
      </c>
      <c r="Q19" s="1014">
        <f>transport!P54</f>
        <v>0</v>
      </c>
      <c r="R19" s="700">
        <f>SUM(C19:Q19)</f>
        <v>1347.9884638575857</v>
      </c>
      <c r="S19" s="67"/>
    </row>
    <row r="20" spans="1:19" s="473" customFormat="1">
      <c r="A20" s="809" t="s">
        <v>307</v>
      </c>
      <c r="B20" s="814"/>
      <c r="C20" s="1013">
        <f>transport!B14</f>
        <v>34.873297700126095</v>
      </c>
      <c r="D20" s="1013">
        <f>transport!C14</f>
        <v>0</v>
      </c>
      <c r="E20" s="1013">
        <f>transport!D14</f>
        <v>123.90432626248152</v>
      </c>
      <c r="F20" s="1013">
        <f>transport!E14</f>
        <v>186.90781719410396</v>
      </c>
      <c r="G20" s="1013">
        <f>transport!F14</f>
        <v>0</v>
      </c>
      <c r="H20" s="1013">
        <f>transport!G14</f>
        <v>55992.039938517097</v>
      </c>
      <c r="I20" s="1013">
        <f>transport!H14</f>
        <v>14278.782338681322</v>
      </c>
      <c r="J20" s="1013">
        <f>transport!I14</f>
        <v>0</v>
      </c>
      <c r="K20" s="1013">
        <f>transport!J14</f>
        <v>0</v>
      </c>
      <c r="L20" s="1013">
        <f>transport!K14</f>
        <v>0</v>
      </c>
      <c r="M20" s="1013">
        <f>transport!L14</f>
        <v>0</v>
      </c>
      <c r="N20" s="1013">
        <f>transport!M14</f>
        <v>3692.5653564939562</v>
      </c>
      <c r="O20" s="1013">
        <f>transport!N14</f>
        <v>0</v>
      </c>
      <c r="P20" s="1013">
        <f>transport!O14</f>
        <v>0</v>
      </c>
      <c r="Q20" s="1014">
        <f>transport!P14</f>
        <v>0</v>
      </c>
      <c r="R20" s="700">
        <f>SUM(C20:Q20)</f>
        <v>74309.07307484909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34.873297700126095</v>
      </c>
      <c r="D22" s="812">
        <f t="shared" ref="D22:R22" si="1">SUM(D18:D21)</f>
        <v>0</v>
      </c>
      <c r="E22" s="812">
        <f t="shared" si="1"/>
        <v>123.90432626248152</v>
      </c>
      <c r="F22" s="812">
        <f t="shared" si="1"/>
        <v>186.90781719410396</v>
      </c>
      <c r="G22" s="812">
        <f t="shared" si="1"/>
        <v>0</v>
      </c>
      <c r="H22" s="812">
        <f t="shared" si="1"/>
        <v>57267.583177389773</v>
      </c>
      <c r="I22" s="812">
        <f t="shared" si="1"/>
        <v>14278.782338681322</v>
      </c>
      <c r="J22" s="812">
        <f t="shared" si="1"/>
        <v>0</v>
      </c>
      <c r="K22" s="812">
        <f t="shared" si="1"/>
        <v>0</v>
      </c>
      <c r="L22" s="812">
        <f t="shared" si="1"/>
        <v>0</v>
      </c>
      <c r="M22" s="812">
        <f t="shared" si="1"/>
        <v>0</v>
      </c>
      <c r="N22" s="812">
        <f t="shared" si="1"/>
        <v>3765.0105814788644</v>
      </c>
      <c r="O22" s="812">
        <f t="shared" si="1"/>
        <v>0</v>
      </c>
      <c r="P22" s="812">
        <f t="shared" si="1"/>
        <v>0</v>
      </c>
      <c r="Q22" s="812">
        <f t="shared" si="1"/>
        <v>0</v>
      </c>
      <c r="R22" s="812">
        <f t="shared" si="1"/>
        <v>75657.061538706679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0.87266454386390002</v>
      </c>
      <c r="D24" s="1013">
        <f>+landbouw!C8</f>
        <v>0</v>
      </c>
      <c r="E24" s="1013">
        <f>+landbouw!D8</f>
        <v>0</v>
      </c>
      <c r="F24" s="1013">
        <f>+landbouw!E8</f>
        <v>2.5650276369324345E-2</v>
      </c>
      <c r="G24" s="1013">
        <f>+landbouw!F8</f>
        <v>3.6354733334201814</v>
      </c>
      <c r="H24" s="1013">
        <f>+landbouw!G8</f>
        <v>0</v>
      </c>
      <c r="I24" s="1013">
        <f>+landbouw!H8</f>
        <v>0</v>
      </c>
      <c r="J24" s="1013">
        <f>+landbouw!I8</f>
        <v>0</v>
      </c>
      <c r="K24" s="1013">
        <f>+landbouw!J8</f>
        <v>0.12643035172027708</v>
      </c>
      <c r="L24" s="1013">
        <f>+landbouw!K8</f>
        <v>0</v>
      </c>
      <c r="M24" s="1013">
        <f>+landbouw!L8</f>
        <v>0</v>
      </c>
      <c r="N24" s="1013">
        <f>+landbouw!M8</f>
        <v>0</v>
      </c>
      <c r="O24" s="1013">
        <f>+landbouw!N8</f>
        <v>0</v>
      </c>
      <c r="P24" s="1013">
        <f>+landbouw!O8</f>
        <v>0</v>
      </c>
      <c r="Q24" s="1014">
        <f>+landbouw!P8</f>
        <v>0</v>
      </c>
      <c r="R24" s="700">
        <f>SUM(C24:Q24)</f>
        <v>4.6602185053736829</v>
      </c>
      <c r="S24" s="67"/>
    </row>
    <row r="25" spans="1:19" s="473" customFormat="1" ht="15" thickBot="1">
      <c r="A25" s="831" t="s">
        <v>836</v>
      </c>
      <c r="B25" s="1016"/>
      <c r="C25" s="1017">
        <f>IF(Onbekend_ele_kWh="---",0,Onbekend_ele_kWh)/1000+IF(REST_rest_ele_kWh="---",0,REST_rest_ele_kWh)/1000</f>
        <v>603.23466351533796</v>
      </c>
      <c r="D25" s="1017"/>
      <c r="E25" s="1017">
        <f>IF(onbekend_gas_kWh="---",0,onbekend_gas_kWh)/1000+IF(REST_rest_gas_kWh="---",0,REST_rest_gas_kWh)/1000</f>
        <v>1401.6645745324399</v>
      </c>
      <c r="F25" s="1017"/>
      <c r="G25" s="1017"/>
      <c r="H25" s="1017"/>
      <c r="I25" s="1017"/>
      <c r="J25" s="1017"/>
      <c r="K25" s="1017"/>
      <c r="L25" s="1017"/>
      <c r="M25" s="1017"/>
      <c r="N25" s="1017"/>
      <c r="O25" s="1017"/>
      <c r="P25" s="1017"/>
      <c r="Q25" s="1018"/>
      <c r="R25" s="700">
        <f>SUM(C25:Q25)</f>
        <v>2004.899238047778</v>
      </c>
      <c r="S25" s="67"/>
    </row>
    <row r="26" spans="1:19" s="473" customFormat="1" ht="15.75" thickBot="1">
      <c r="A26" s="705" t="s">
        <v>837</v>
      </c>
      <c r="B26" s="817"/>
      <c r="C26" s="812">
        <f>SUM(C24:C25)</f>
        <v>604.1073280592019</v>
      </c>
      <c r="D26" s="812">
        <f t="shared" ref="D26:R26" si="2">SUM(D24:D25)</f>
        <v>0</v>
      </c>
      <c r="E26" s="812">
        <f t="shared" si="2"/>
        <v>1401.6645745324399</v>
      </c>
      <c r="F26" s="812">
        <f t="shared" si="2"/>
        <v>2.5650276369324345E-2</v>
      </c>
      <c r="G26" s="812">
        <f t="shared" si="2"/>
        <v>3.6354733334201814</v>
      </c>
      <c r="H26" s="812">
        <f t="shared" si="2"/>
        <v>0</v>
      </c>
      <c r="I26" s="812">
        <f t="shared" si="2"/>
        <v>0</v>
      </c>
      <c r="J26" s="812">
        <f t="shared" si="2"/>
        <v>0</v>
      </c>
      <c r="K26" s="812">
        <f t="shared" si="2"/>
        <v>0.12643035172027708</v>
      </c>
      <c r="L26" s="812">
        <f t="shared" si="2"/>
        <v>0</v>
      </c>
      <c r="M26" s="812">
        <f t="shared" si="2"/>
        <v>0</v>
      </c>
      <c r="N26" s="812">
        <f t="shared" si="2"/>
        <v>0</v>
      </c>
      <c r="O26" s="812">
        <f t="shared" si="2"/>
        <v>0</v>
      </c>
      <c r="P26" s="812">
        <f t="shared" si="2"/>
        <v>0</v>
      </c>
      <c r="Q26" s="812">
        <f t="shared" si="2"/>
        <v>0</v>
      </c>
      <c r="R26" s="812">
        <f t="shared" si="2"/>
        <v>2009.5594565531517</v>
      </c>
      <c r="S26" s="67"/>
    </row>
    <row r="27" spans="1:19" s="473" customFormat="1" ht="17.25" thickTop="1" thickBot="1">
      <c r="A27" s="706" t="s">
        <v>116</v>
      </c>
      <c r="B27" s="805"/>
      <c r="C27" s="707">
        <f ca="1">C22+C16+C26</f>
        <v>52506.655793486068</v>
      </c>
      <c r="D27" s="707">
        <f t="shared" ref="D27:R27" ca="1" si="3">D22+D16+D26</f>
        <v>0</v>
      </c>
      <c r="E27" s="707">
        <f t="shared" ca="1" si="3"/>
        <v>109735.33000872358</v>
      </c>
      <c r="F27" s="707">
        <f t="shared" si="3"/>
        <v>2219.9688591735085</v>
      </c>
      <c r="G27" s="707">
        <f t="shared" ca="1" si="3"/>
        <v>8338.9154818847219</v>
      </c>
      <c r="H27" s="707">
        <f t="shared" si="3"/>
        <v>57267.583177389773</v>
      </c>
      <c r="I27" s="707">
        <f t="shared" si="3"/>
        <v>14278.782338681322</v>
      </c>
      <c r="J27" s="707">
        <f t="shared" si="3"/>
        <v>0</v>
      </c>
      <c r="K27" s="707">
        <f t="shared" si="3"/>
        <v>84.144171772126555</v>
      </c>
      <c r="L27" s="707">
        <f t="shared" si="3"/>
        <v>0</v>
      </c>
      <c r="M27" s="707">
        <f t="shared" ca="1" si="3"/>
        <v>0</v>
      </c>
      <c r="N27" s="707">
        <f t="shared" si="3"/>
        <v>3765.0105814788644</v>
      </c>
      <c r="O27" s="707">
        <f t="shared" ca="1" si="3"/>
        <v>9538.626909383318</v>
      </c>
      <c r="P27" s="707">
        <f t="shared" si="3"/>
        <v>6.2533333333333339</v>
      </c>
      <c r="Q27" s="707">
        <f t="shared" si="3"/>
        <v>19.066666666666666</v>
      </c>
      <c r="R27" s="707">
        <f t="shared" ca="1" si="3"/>
        <v>257760.33732197335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4309.3036711070981</v>
      </c>
      <c r="D40" s="1013">
        <f ca="1">tertiair!C20</f>
        <v>0</v>
      </c>
      <c r="E40" s="1013">
        <f ca="1">tertiair!D20</f>
        <v>3875.7125680482177</v>
      </c>
      <c r="F40" s="1013">
        <f>tertiair!E20</f>
        <v>91.564882254007472</v>
      </c>
      <c r="G40" s="1013">
        <f ca="1">tertiair!F20</f>
        <v>903.29756589765475</v>
      </c>
      <c r="H40" s="1013">
        <f>tertiair!G20</f>
        <v>0</v>
      </c>
      <c r="I40" s="1013">
        <f>tertiair!H20</f>
        <v>0</v>
      </c>
      <c r="J40" s="1013">
        <f>tertiair!I20</f>
        <v>0</v>
      </c>
      <c r="K40" s="1013">
        <f>tertiair!J20</f>
        <v>3.8908459369006178E-3</v>
      </c>
      <c r="L40" s="1013">
        <f>tertiair!K20</f>
        <v>0</v>
      </c>
      <c r="M40" s="1013">
        <f ca="1">tertiair!L20</f>
        <v>0</v>
      </c>
      <c r="N40" s="1013">
        <f>tertiair!M20</f>
        <v>0</v>
      </c>
      <c r="O40" s="1013">
        <f ca="1">tertiair!N20</f>
        <v>0</v>
      </c>
      <c r="P40" s="1013">
        <f>tertiair!O20</f>
        <v>0</v>
      </c>
      <c r="Q40" s="774">
        <f>tertiair!P20</f>
        <v>0</v>
      </c>
      <c r="R40" s="850">
        <f t="shared" ca="1" si="4"/>
        <v>9179.882578152914</v>
      </c>
    </row>
    <row r="41" spans="1:18">
      <c r="A41" s="822" t="s">
        <v>225</v>
      </c>
      <c r="B41" s="829"/>
      <c r="C41" s="1013">
        <f ca="1">huishoudens!B12</f>
        <v>1508.6203907172962</v>
      </c>
      <c r="D41" s="1013">
        <f ca="1">huishoudens!C12</f>
        <v>0</v>
      </c>
      <c r="E41" s="1013">
        <f>huishoudens!D12</f>
        <v>5427.8097315170353</v>
      </c>
      <c r="F41" s="1013">
        <f>huishoudens!E12</f>
        <v>54.071658074416511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6990.5017803087476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5429.5772269781783</v>
      </c>
      <c r="D43" s="1013">
        <f ca="1">industrie!C22</f>
        <v>0</v>
      </c>
      <c r="E43" s="1013">
        <f>industrie!D22</f>
        <v>12554.849444236341</v>
      </c>
      <c r="F43" s="1013">
        <f>industrie!E22</f>
        <v>315.86249358816502</v>
      </c>
      <c r="G43" s="1013">
        <f>industrie!F22</f>
        <v>1322.2221963855427</v>
      </c>
      <c r="H43" s="1013">
        <f>industrie!G22</f>
        <v>0</v>
      </c>
      <c r="I43" s="1013">
        <f>industrie!H22</f>
        <v>0</v>
      </c>
      <c r="J43" s="1013">
        <f>industrie!I22</f>
        <v>0</v>
      </c>
      <c r="K43" s="1013">
        <f>industrie!J22</f>
        <v>29.738389616886924</v>
      </c>
      <c r="L43" s="1013">
        <f>industrie!K22</f>
        <v>0</v>
      </c>
      <c r="M43" s="1013">
        <f>industrie!L22</f>
        <v>0</v>
      </c>
      <c r="N43" s="1013">
        <f>industrie!M22</f>
        <v>0</v>
      </c>
      <c r="O43" s="1013">
        <f>industrie!N22</f>
        <v>0</v>
      </c>
      <c r="P43" s="1013">
        <f>industrie!O22</f>
        <v>0</v>
      </c>
      <c r="Q43" s="774">
        <f>industrie!P22</f>
        <v>0</v>
      </c>
      <c r="R43" s="849">
        <f t="shared" ca="1" si="4"/>
        <v>19652.249750805113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11247.501288802574</v>
      </c>
      <c r="D46" s="732">
        <f t="shared" ref="D46:Q46" ca="1" si="5">SUM(D39:D45)</f>
        <v>0</v>
      </c>
      <c r="E46" s="732">
        <f t="shared" ca="1" si="5"/>
        <v>21858.371743801596</v>
      </c>
      <c r="F46" s="732">
        <f t="shared" si="5"/>
        <v>461.49903391658904</v>
      </c>
      <c r="G46" s="732">
        <f t="shared" ca="1" si="5"/>
        <v>2225.5197622831975</v>
      </c>
      <c r="H46" s="732">
        <f t="shared" si="5"/>
        <v>0</v>
      </c>
      <c r="I46" s="732">
        <f t="shared" si="5"/>
        <v>0</v>
      </c>
      <c r="J46" s="732">
        <f t="shared" si="5"/>
        <v>0</v>
      </c>
      <c r="K46" s="732">
        <f t="shared" si="5"/>
        <v>29.742280462823825</v>
      </c>
      <c r="L46" s="732">
        <f t="shared" si="5"/>
        <v>0</v>
      </c>
      <c r="M46" s="732">
        <f t="shared" ca="1" si="5"/>
        <v>0</v>
      </c>
      <c r="N46" s="732">
        <f t="shared" si="5"/>
        <v>0</v>
      </c>
      <c r="O46" s="732">
        <f t="shared" ca="1" si="5"/>
        <v>0</v>
      </c>
      <c r="P46" s="732">
        <f t="shared" si="5"/>
        <v>0</v>
      </c>
      <c r="Q46" s="732">
        <f t="shared" si="5"/>
        <v>0</v>
      </c>
      <c r="R46" s="732">
        <f ca="1">SUM(R39:R45)</f>
        <v>35822.634109266772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340.57004477900489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340.57004477900489</v>
      </c>
    </row>
    <row r="50" spans="1:18">
      <c r="A50" s="825" t="s">
        <v>307</v>
      </c>
      <c r="B50" s="835"/>
      <c r="C50" s="703">
        <f ca="1">transport!B18</f>
        <v>7.5622718689158299</v>
      </c>
      <c r="D50" s="703">
        <f>transport!C18</f>
        <v>0</v>
      </c>
      <c r="E50" s="703">
        <f>transport!D18</f>
        <v>25.028673905021268</v>
      </c>
      <c r="F50" s="703">
        <f>transport!E18</f>
        <v>42.428074503061602</v>
      </c>
      <c r="G50" s="703">
        <f>transport!F18</f>
        <v>0</v>
      </c>
      <c r="H50" s="703">
        <f>transport!G18</f>
        <v>14949.874663584065</v>
      </c>
      <c r="I50" s="703">
        <f>transport!H18</f>
        <v>3555.4168023316493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18580.310486192713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7.5622718689158299</v>
      </c>
      <c r="D52" s="732">
        <f t="shared" ref="D52:Q52" ca="1" si="6">SUM(D48:D51)</f>
        <v>0</v>
      </c>
      <c r="E52" s="732">
        <f t="shared" si="6"/>
        <v>25.028673905021268</v>
      </c>
      <c r="F52" s="732">
        <f t="shared" si="6"/>
        <v>42.428074503061602</v>
      </c>
      <c r="G52" s="732">
        <f t="shared" si="6"/>
        <v>0</v>
      </c>
      <c r="H52" s="732">
        <f t="shared" si="6"/>
        <v>15290.444708363069</v>
      </c>
      <c r="I52" s="732">
        <f t="shared" si="6"/>
        <v>3555.4168023316493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18920.880530971717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0.18923723783765861</v>
      </c>
      <c r="D54" s="703">
        <f ca="1">+landbouw!C12</f>
        <v>0</v>
      </c>
      <c r="E54" s="703">
        <f>+landbouw!D12</f>
        <v>0</v>
      </c>
      <c r="F54" s="703">
        <f>+landbouw!E12</f>
        <v>5.8226127358366265E-3</v>
      </c>
      <c r="G54" s="703">
        <f>+landbouw!F12</f>
        <v>0.97067138002318853</v>
      </c>
      <c r="H54" s="703">
        <f>+landbouw!G12</f>
        <v>0</v>
      </c>
      <c r="I54" s="703">
        <f>+landbouw!H12</f>
        <v>0</v>
      </c>
      <c r="J54" s="703">
        <f>+landbouw!I12</f>
        <v>0</v>
      </c>
      <c r="K54" s="703">
        <f>+landbouw!J12</f>
        <v>4.4756344508978085E-2</v>
      </c>
      <c r="L54" s="703">
        <f>+landbouw!K12</f>
        <v>0</v>
      </c>
      <c r="M54" s="703">
        <f>+landbouw!L12</f>
        <v>0</v>
      </c>
      <c r="N54" s="703">
        <f>+landbouw!M12</f>
        <v>0</v>
      </c>
      <c r="O54" s="703">
        <f>+landbouw!N12</f>
        <v>0</v>
      </c>
      <c r="P54" s="703">
        <f>+landbouw!O12</f>
        <v>0</v>
      </c>
      <c r="Q54" s="704">
        <f>+landbouw!P12</f>
        <v>0</v>
      </c>
      <c r="R54" s="731">
        <f ca="1">SUM(C54:Q54)</f>
        <v>1.2104875751056619</v>
      </c>
    </row>
    <row r="55" spans="1:18" ht="15" thickBot="1">
      <c r="A55" s="825" t="s">
        <v>836</v>
      </c>
      <c r="B55" s="835"/>
      <c r="C55" s="703">
        <f ca="1">C25*'EF ele_warmte'!B12</f>
        <v>130.81138943279379</v>
      </c>
      <c r="D55" s="703"/>
      <c r="E55" s="703">
        <f>E25*EF_CO2_aardgas</f>
        <v>283.13624405555288</v>
      </c>
      <c r="F55" s="703"/>
      <c r="G55" s="703"/>
      <c r="H55" s="703"/>
      <c r="I55" s="703"/>
      <c r="J55" s="703"/>
      <c r="K55" s="703"/>
      <c r="L55" s="703"/>
      <c r="M55" s="703"/>
      <c r="N55" s="703"/>
      <c r="O55" s="703"/>
      <c r="P55" s="703"/>
      <c r="Q55" s="704"/>
      <c r="R55" s="731">
        <f ca="1">SUM(C55:Q55)</f>
        <v>413.9476334883467</v>
      </c>
    </row>
    <row r="56" spans="1:18" ht="15.75" thickBot="1">
      <c r="A56" s="823" t="s">
        <v>837</v>
      </c>
      <c r="B56" s="836"/>
      <c r="C56" s="732">
        <f ca="1">SUM(C54:C55)</f>
        <v>131.00062667063145</v>
      </c>
      <c r="D56" s="732">
        <f t="shared" ref="D56:Q56" ca="1" si="7">SUM(D54:D55)</f>
        <v>0</v>
      </c>
      <c r="E56" s="732">
        <f t="shared" si="7"/>
        <v>283.13624405555288</v>
      </c>
      <c r="F56" s="732">
        <f t="shared" si="7"/>
        <v>5.8226127358366265E-3</v>
      </c>
      <c r="G56" s="732">
        <f t="shared" si="7"/>
        <v>0.97067138002318853</v>
      </c>
      <c r="H56" s="732">
        <f t="shared" si="7"/>
        <v>0</v>
      </c>
      <c r="I56" s="732">
        <f t="shared" si="7"/>
        <v>0</v>
      </c>
      <c r="J56" s="732">
        <f t="shared" si="7"/>
        <v>0</v>
      </c>
      <c r="K56" s="732">
        <f t="shared" si="7"/>
        <v>4.4756344508978085E-2</v>
      </c>
      <c r="L56" s="732">
        <f t="shared" si="7"/>
        <v>0</v>
      </c>
      <c r="M56" s="732">
        <f t="shared" si="7"/>
        <v>0</v>
      </c>
      <c r="N56" s="732">
        <f t="shared" si="7"/>
        <v>0</v>
      </c>
      <c r="O56" s="732">
        <f t="shared" si="7"/>
        <v>0</v>
      </c>
      <c r="P56" s="732">
        <f t="shared" si="7"/>
        <v>0</v>
      </c>
      <c r="Q56" s="733">
        <f t="shared" si="7"/>
        <v>0</v>
      </c>
      <c r="R56" s="734">
        <f ca="1">SUM(R54:R55)</f>
        <v>415.15812106345237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11386.064187342121</v>
      </c>
      <c r="D61" s="740">
        <f t="shared" ref="D61:Q61" ca="1" si="8">D46+D52+D56</f>
        <v>0</v>
      </c>
      <c r="E61" s="740">
        <f t="shared" ca="1" si="8"/>
        <v>22166.536661762169</v>
      </c>
      <c r="F61" s="740">
        <f t="shared" si="8"/>
        <v>503.93293103238648</v>
      </c>
      <c r="G61" s="740">
        <f t="shared" ca="1" si="8"/>
        <v>2226.4904336632208</v>
      </c>
      <c r="H61" s="740">
        <f t="shared" si="8"/>
        <v>15290.444708363069</v>
      </c>
      <c r="I61" s="740">
        <f t="shared" si="8"/>
        <v>3555.4168023316493</v>
      </c>
      <c r="J61" s="740">
        <f t="shared" si="8"/>
        <v>0</v>
      </c>
      <c r="K61" s="740">
        <f t="shared" si="8"/>
        <v>29.787036807332804</v>
      </c>
      <c r="L61" s="740">
        <f t="shared" si="8"/>
        <v>0</v>
      </c>
      <c r="M61" s="740">
        <f t="shared" ca="1" si="8"/>
        <v>0</v>
      </c>
      <c r="N61" s="740">
        <f t="shared" si="8"/>
        <v>0</v>
      </c>
      <c r="O61" s="740">
        <f t="shared" ca="1" si="8"/>
        <v>0</v>
      </c>
      <c r="P61" s="740">
        <f t="shared" si="8"/>
        <v>0</v>
      </c>
      <c r="Q61" s="740">
        <f t="shared" si="8"/>
        <v>0</v>
      </c>
      <c r="R61" s="740">
        <f ca="1">R46+R52+R56</f>
        <v>55158.672761301939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0.21684992150565921</v>
      </c>
      <c r="D63" s="781">
        <f t="shared" ca="1" si="9"/>
        <v>0</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239.67219805802046</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746.33116401573579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986.00336207375631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6956.9791874604171</v>
      </c>
      <c r="C4" s="477">
        <f>huishoudens!C8</f>
        <v>0</v>
      </c>
      <c r="D4" s="477">
        <f>huishoudens!D8</f>
        <v>26870.345205529877</v>
      </c>
      <c r="E4" s="477">
        <f>huishoudens!E8</f>
        <v>238.20113689170267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947.07263395828272</v>
      </c>
      <c r="O4" s="477">
        <f>huishoudens!O8</f>
        <v>6.2533333333333339</v>
      </c>
      <c r="P4" s="478">
        <f>huishoudens!P8</f>
        <v>19.066666666666666</v>
      </c>
      <c r="Q4" s="479">
        <f>SUM(B4:P4)</f>
        <v>35037.918163840281</v>
      </c>
    </row>
    <row r="5" spans="1:17">
      <c r="A5" s="476" t="s">
        <v>156</v>
      </c>
      <c r="B5" s="477">
        <f ca="1">tertiair!B16</f>
        <v>19597.161054734112</v>
      </c>
      <c r="C5" s="477">
        <f ca="1">tertiair!C16</f>
        <v>0</v>
      </c>
      <c r="D5" s="477">
        <f ca="1">tertiair!D16</f>
        <v>19186.695881426818</v>
      </c>
      <c r="E5" s="477">
        <f>tertiair!E16</f>
        <v>403.3695253480505</v>
      </c>
      <c r="F5" s="477">
        <f ca="1">tertiair!F16</f>
        <v>3383.1369509275455</v>
      </c>
      <c r="G5" s="477">
        <f>tertiair!G16</f>
        <v>0</v>
      </c>
      <c r="H5" s="477">
        <f>tertiair!H16</f>
        <v>0</v>
      </c>
      <c r="I5" s="477">
        <f>tertiair!I16</f>
        <v>0</v>
      </c>
      <c r="J5" s="477">
        <f>tertiair!J16</f>
        <v>1.0991090217233384E-2</v>
      </c>
      <c r="K5" s="477">
        <f>tertiair!K16</f>
        <v>0</v>
      </c>
      <c r="L5" s="477">
        <f ca="1">tertiair!L16</f>
        <v>0</v>
      </c>
      <c r="M5" s="477">
        <f>tertiair!M16</f>
        <v>0</v>
      </c>
      <c r="N5" s="477">
        <f ca="1">tertiair!N16</f>
        <v>456.21019102158482</v>
      </c>
      <c r="O5" s="477">
        <f>tertiair!O16</f>
        <v>0</v>
      </c>
      <c r="P5" s="478">
        <f>tertiair!P16</f>
        <v>0</v>
      </c>
      <c r="Q5" s="476">
        <f t="shared" ref="Q5:Q14" ca="1" si="0">SUM(B5:P5)</f>
        <v>43026.584594548323</v>
      </c>
    </row>
    <row r="6" spans="1:17">
      <c r="A6" s="476" t="s">
        <v>194</v>
      </c>
      <c r="B6" s="477">
        <f>'openbare verlichting'!B8</f>
        <v>275.125</v>
      </c>
      <c r="C6" s="477"/>
      <c r="D6" s="477"/>
      <c r="E6" s="477"/>
      <c r="F6" s="477"/>
      <c r="G6" s="477"/>
      <c r="H6" s="477"/>
      <c r="I6" s="477"/>
      <c r="J6" s="477"/>
      <c r="K6" s="477"/>
      <c r="L6" s="477"/>
      <c r="M6" s="477"/>
      <c r="N6" s="477"/>
      <c r="O6" s="477"/>
      <c r="P6" s="478"/>
      <c r="Q6" s="476">
        <f t="shared" si="0"/>
        <v>275.125</v>
      </c>
    </row>
    <row r="7" spans="1:17">
      <c r="A7" s="476" t="s">
        <v>112</v>
      </c>
      <c r="B7" s="477">
        <f>landbouw!B8</f>
        <v>0.87266454386390002</v>
      </c>
      <c r="C7" s="477">
        <f>landbouw!C8</f>
        <v>0</v>
      </c>
      <c r="D7" s="477">
        <f>landbouw!D8</f>
        <v>0</v>
      </c>
      <c r="E7" s="477">
        <f>landbouw!E8</f>
        <v>2.5650276369324345E-2</v>
      </c>
      <c r="F7" s="477">
        <f>landbouw!F8</f>
        <v>3.6354733334201814</v>
      </c>
      <c r="G7" s="477">
        <f>landbouw!G8</f>
        <v>0</v>
      </c>
      <c r="H7" s="477">
        <f>landbouw!H8</f>
        <v>0</v>
      </c>
      <c r="I7" s="477">
        <f>landbouw!I8</f>
        <v>0</v>
      </c>
      <c r="J7" s="477">
        <f>landbouw!J8</f>
        <v>0.12643035172027708</v>
      </c>
      <c r="K7" s="477">
        <f>landbouw!K8</f>
        <v>0</v>
      </c>
      <c r="L7" s="477">
        <f>landbouw!L8</f>
        <v>0</v>
      </c>
      <c r="M7" s="477">
        <f>landbouw!M8</f>
        <v>0</v>
      </c>
      <c r="N7" s="477">
        <f>landbouw!N8</f>
        <v>0</v>
      </c>
      <c r="O7" s="477">
        <f>landbouw!O8</f>
        <v>0</v>
      </c>
      <c r="P7" s="478">
        <f>landbouw!P8</f>
        <v>0</v>
      </c>
      <c r="Q7" s="476">
        <f t="shared" si="0"/>
        <v>4.6602185053736829</v>
      </c>
    </row>
    <row r="8" spans="1:17">
      <c r="A8" s="476" t="s">
        <v>635</v>
      </c>
      <c r="B8" s="477">
        <f>industrie!B18</f>
        <v>25038.409925532211</v>
      </c>
      <c r="C8" s="477">
        <f>industrie!C18</f>
        <v>0</v>
      </c>
      <c r="D8" s="477">
        <f>industrie!D18</f>
        <v>62152.720020971981</v>
      </c>
      <c r="E8" s="477">
        <f>industrie!E18</f>
        <v>1391.4647294632821</v>
      </c>
      <c r="F8" s="477">
        <f>industrie!F18</f>
        <v>4952.1430576237553</v>
      </c>
      <c r="G8" s="477">
        <f>industrie!G18</f>
        <v>0</v>
      </c>
      <c r="H8" s="477">
        <f>industrie!H18</f>
        <v>0</v>
      </c>
      <c r="I8" s="477">
        <f>industrie!I18</f>
        <v>0</v>
      </c>
      <c r="J8" s="477">
        <f>industrie!J18</f>
        <v>84.00675033018905</v>
      </c>
      <c r="K8" s="477">
        <f>industrie!K18</f>
        <v>0</v>
      </c>
      <c r="L8" s="477">
        <f>industrie!L18</f>
        <v>0</v>
      </c>
      <c r="M8" s="477">
        <f>industrie!M18</f>
        <v>0</v>
      </c>
      <c r="N8" s="477">
        <f>industrie!N18</f>
        <v>8135.3440844034503</v>
      </c>
      <c r="O8" s="477">
        <f>industrie!O18</f>
        <v>0</v>
      </c>
      <c r="P8" s="478">
        <f>industrie!P18</f>
        <v>0</v>
      </c>
      <c r="Q8" s="476">
        <f t="shared" si="0"/>
        <v>101754.08856832488</v>
      </c>
    </row>
    <row r="9" spans="1:17" s="482" customFormat="1">
      <c r="A9" s="480" t="s">
        <v>561</v>
      </c>
      <c r="B9" s="481">
        <f>transport!B14</f>
        <v>34.873297700126095</v>
      </c>
      <c r="C9" s="481">
        <f>transport!C14</f>
        <v>0</v>
      </c>
      <c r="D9" s="481">
        <f>transport!D14</f>
        <v>123.90432626248152</v>
      </c>
      <c r="E9" s="481">
        <f>transport!E14</f>
        <v>186.90781719410396</v>
      </c>
      <c r="F9" s="481">
        <f>transport!F14</f>
        <v>0</v>
      </c>
      <c r="G9" s="481">
        <f>transport!G14</f>
        <v>55992.039938517097</v>
      </c>
      <c r="H9" s="481">
        <f>transport!H14</f>
        <v>14278.782338681322</v>
      </c>
      <c r="I9" s="481">
        <f>transport!I14</f>
        <v>0</v>
      </c>
      <c r="J9" s="481">
        <f>transport!J14</f>
        <v>0</v>
      </c>
      <c r="K9" s="481">
        <f>transport!K14</f>
        <v>0</v>
      </c>
      <c r="L9" s="481">
        <f>transport!L14</f>
        <v>0</v>
      </c>
      <c r="M9" s="481">
        <f>transport!M14</f>
        <v>3692.5653564939562</v>
      </c>
      <c r="N9" s="481">
        <f>transport!N14</f>
        <v>0</v>
      </c>
      <c r="O9" s="481">
        <f>transport!O14</f>
        <v>0</v>
      </c>
      <c r="P9" s="481">
        <f>transport!P14</f>
        <v>0</v>
      </c>
      <c r="Q9" s="480">
        <f>SUM(B9:P9)</f>
        <v>74309.07307484909</v>
      </c>
    </row>
    <row r="10" spans="1:17">
      <c r="A10" s="476" t="s">
        <v>551</v>
      </c>
      <c r="B10" s="477">
        <f>transport!B54</f>
        <v>0</v>
      </c>
      <c r="C10" s="477">
        <f>transport!C54</f>
        <v>0</v>
      </c>
      <c r="D10" s="477">
        <f>transport!D54</f>
        <v>0</v>
      </c>
      <c r="E10" s="477">
        <f>transport!E54</f>
        <v>0</v>
      </c>
      <c r="F10" s="477">
        <f>transport!F54</f>
        <v>0</v>
      </c>
      <c r="G10" s="477">
        <f>transport!G54</f>
        <v>1275.5432388726774</v>
      </c>
      <c r="H10" s="477">
        <f>transport!H54</f>
        <v>0</v>
      </c>
      <c r="I10" s="477">
        <f>transport!I54</f>
        <v>0</v>
      </c>
      <c r="J10" s="477">
        <f>transport!J54</f>
        <v>0</v>
      </c>
      <c r="K10" s="477">
        <f>transport!K54</f>
        <v>0</v>
      </c>
      <c r="L10" s="477">
        <f>transport!L54</f>
        <v>0</v>
      </c>
      <c r="M10" s="477">
        <f>transport!M54</f>
        <v>72.445224984908251</v>
      </c>
      <c r="N10" s="477">
        <f>transport!N54</f>
        <v>0</v>
      </c>
      <c r="O10" s="477">
        <f>transport!O54</f>
        <v>0</v>
      </c>
      <c r="P10" s="478">
        <f>transport!P54</f>
        <v>0</v>
      </c>
      <c r="Q10" s="476">
        <f t="shared" si="0"/>
        <v>1347.9884638575857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603.23466351533796</v>
      </c>
      <c r="C14" s="484"/>
      <c r="D14" s="484">
        <f>'SEAP template'!E25</f>
        <v>1401.6645745324399</v>
      </c>
      <c r="E14" s="484"/>
      <c r="F14" s="484"/>
      <c r="G14" s="484"/>
      <c r="H14" s="484"/>
      <c r="I14" s="484"/>
      <c r="J14" s="484"/>
      <c r="K14" s="484"/>
      <c r="L14" s="484"/>
      <c r="M14" s="484"/>
      <c r="N14" s="484"/>
      <c r="O14" s="484"/>
      <c r="P14" s="485"/>
      <c r="Q14" s="476">
        <f t="shared" si="0"/>
        <v>2004.899238047778</v>
      </c>
    </row>
    <row r="15" spans="1:17" s="486" customFormat="1">
      <c r="A15" s="1039" t="s">
        <v>555</v>
      </c>
      <c r="B15" s="987">
        <f ca="1">SUM(B4:B14)</f>
        <v>52506.655793486068</v>
      </c>
      <c r="C15" s="987">
        <f t="shared" ref="C15:Q15" ca="1" si="1">SUM(C4:C14)</f>
        <v>0</v>
      </c>
      <c r="D15" s="987">
        <f t="shared" ca="1" si="1"/>
        <v>109735.33000872358</v>
      </c>
      <c r="E15" s="987">
        <f t="shared" si="1"/>
        <v>2219.9688591735085</v>
      </c>
      <c r="F15" s="987">
        <f t="shared" ca="1" si="1"/>
        <v>8338.9154818847201</v>
      </c>
      <c r="G15" s="987">
        <f t="shared" si="1"/>
        <v>57267.583177389773</v>
      </c>
      <c r="H15" s="987">
        <f t="shared" si="1"/>
        <v>14278.782338681322</v>
      </c>
      <c r="I15" s="987">
        <f t="shared" si="1"/>
        <v>0</v>
      </c>
      <c r="J15" s="987">
        <f t="shared" si="1"/>
        <v>84.144171772126555</v>
      </c>
      <c r="K15" s="987">
        <f t="shared" si="1"/>
        <v>0</v>
      </c>
      <c r="L15" s="987">
        <f t="shared" ca="1" si="1"/>
        <v>0</v>
      </c>
      <c r="M15" s="987">
        <f t="shared" si="1"/>
        <v>3765.0105814788644</v>
      </c>
      <c r="N15" s="987">
        <f t="shared" ca="1" si="1"/>
        <v>9538.626909383318</v>
      </c>
      <c r="O15" s="987">
        <f t="shared" si="1"/>
        <v>6.2533333333333339</v>
      </c>
      <c r="P15" s="987">
        <f t="shared" si="1"/>
        <v>19.066666666666666</v>
      </c>
      <c r="Q15" s="987">
        <f t="shared" ca="1" si="1"/>
        <v>257760.33732197332</v>
      </c>
    </row>
    <row r="17" spans="1:17">
      <c r="A17" s="487" t="s">
        <v>556</v>
      </c>
      <c r="B17" s="786">
        <f ca="1">huishoudens!B10</f>
        <v>0.21684992150565921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1508.6203907172962</v>
      </c>
      <c r="C22" s="477">
        <f t="shared" ref="C22:C32" ca="1" si="3">C4*$C$17</f>
        <v>0</v>
      </c>
      <c r="D22" s="477">
        <f t="shared" ref="D22:D32" si="4">D4*$D$17</f>
        <v>5427.8097315170353</v>
      </c>
      <c r="E22" s="477">
        <f t="shared" ref="E22:E32" si="5">E4*$E$17</f>
        <v>54.071658074416511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6990.5017803087476</v>
      </c>
    </row>
    <row r="23" spans="1:17">
      <c r="A23" s="476" t="s">
        <v>156</v>
      </c>
      <c r="B23" s="477">
        <f t="shared" ca="1" si="2"/>
        <v>4249.6428364528538</v>
      </c>
      <c r="C23" s="477">
        <f t="shared" ca="1" si="3"/>
        <v>0</v>
      </c>
      <c r="D23" s="477">
        <f t="shared" ca="1" si="4"/>
        <v>3875.7125680482177</v>
      </c>
      <c r="E23" s="477">
        <f t="shared" si="5"/>
        <v>91.564882254007472</v>
      </c>
      <c r="F23" s="477">
        <f t="shared" ca="1" si="6"/>
        <v>903.29756589765475</v>
      </c>
      <c r="G23" s="477">
        <f t="shared" si="7"/>
        <v>0</v>
      </c>
      <c r="H23" s="477">
        <f t="shared" si="8"/>
        <v>0</v>
      </c>
      <c r="I23" s="477">
        <f t="shared" si="9"/>
        <v>0</v>
      </c>
      <c r="J23" s="477">
        <f t="shared" si="10"/>
        <v>3.8908459369006178E-3</v>
      </c>
      <c r="K23" s="477">
        <f t="shared" si="11"/>
        <v>0</v>
      </c>
      <c r="L23" s="477">
        <f t="shared" ca="1" si="12"/>
        <v>0</v>
      </c>
      <c r="M23" s="477">
        <f t="shared" si="13"/>
        <v>0</v>
      </c>
      <c r="N23" s="477">
        <f t="shared" ca="1" si="14"/>
        <v>0</v>
      </c>
      <c r="O23" s="477">
        <f t="shared" si="15"/>
        <v>0</v>
      </c>
      <c r="P23" s="478">
        <f t="shared" si="16"/>
        <v>0</v>
      </c>
      <c r="Q23" s="476">
        <f t="shared" ref="Q23:Q32" ca="1" si="17">SUM(B23:P23)</f>
        <v>9120.2217434986724</v>
      </c>
    </row>
    <row r="24" spans="1:17">
      <c r="A24" s="476" t="s">
        <v>194</v>
      </c>
      <c r="B24" s="477">
        <f t="shared" ca="1" si="2"/>
        <v>59.660834654244489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59.660834654244489</v>
      </c>
    </row>
    <row r="25" spans="1:17">
      <c r="A25" s="476" t="s">
        <v>112</v>
      </c>
      <c r="B25" s="477">
        <f t="shared" ca="1" si="2"/>
        <v>0.18923723783765861</v>
      </c>
      <c r="C25" s="477">
        <f t="shared" ca="1" si="3"/>
        <v>0</v>
      </c>
      <c r="D25" s="477">
        <f t="shared" si="4"/>
        <v>0</v>
      </c>
      <c r="E25" s="477">
        <f t="shared" si="5"/>
        <v>5.8226127358366265E-3</v>
      </c>
      <c r="F25" s="477">
        <f t="shared" si="6"/>
        <v>0.97067138002318853</v>
      </c>
      <c r="G25" s="477">
        <f t="shared" si="7"/>
        <v>0</v>
      </c>
      <c r="H25" s="477">
        <f t="shared" si="8"/>
        <v>0</v>
      </c>
      <c r="I25" s="477">
        <f t="shared" si="9"/>
        <v>0</v>
      </c>
      <c r="J25" s="477">
        <f t="shared" si="10"/>
        <v>4.4756344508978085E-2</v>
      </c>
      <c r="K25" s="477">
        <f t="shared" si="11"/>
        <v>0</v>
      </c>
      <c r="L25" s="477">
        <f t="shared" si="12"/>
        <v>0</v>
      </c>
      <c r="M25" s="477">
        <f t="shared" si="13"/>
        <v>0</v>
      </c>
      <c r="N25" s="477">
        <f t="shared" si="14"/>
        <v>0</v>
      </c>
      <c r="O25" s="477">
        <f t="shared" si="15"/>
        <v>0</v>
      </c>
      <c r="P25" s="478">
        <f t="shared" si="16"/>
        <v>0</v>
      </c>
      <c r="Q25" s="476">
        <f t="shared" ca="1" si="17"/>
        <v>1.2104875751056619</v>
      </c>
    </row>
    <row r="26" spans="1:17">
      <c r="A26" s="476" t="s">
        <v>635</v>
      </c>
      <c r="B26" s="477">
        <f t="shared" ca="1" si="2"/>
        <v>5429.5772269781783</v>
      </c>
      <c r="C26" s="477">
        <f t="shared" ca="1" si="3"/>
        <v>0</v>
      </c>
      <c r="D26" s="477">
        <f t="shared" si="4"/>
        <v>12554.849444236341</v>
      </c>
      <c r="E26" s="477">
        <f t="shared" si="5"/>
        <v>315.86249358816502</v>
      </c>
      <c r="F26" s="477">
        <f t="shared" si="6"/>
        <v>1322.2221963855427</v>
      </c>
      <c r="G26" s="477">
        <f t="shared" si="7"/>
        <v>0</v>
      </c>
      <c r="H26" s="477">
        <f t="shared" si="8"/>
        <v>0</v>
      </c>
      <c r="I26" s="477">
        <f t="shared" si="9"/>
        <v>0</v>
      </c>
      <c r="J26" s="477">
        <f t="shared" si="10"/>
        <v>29.738389616886924</v>
      </c>
      <c r="K26" s="477">
        <f t="shared" si="11"/>
        <v>0</v>
      </c>
      <c r="L26" s="477">
        <f t="shared" si="12"/>
        <v>0</v>
      </c>
      <c r="M26" s="477">
        <f t="shared" si="13"/>
        <v>0</v>
      </c>
      <c r="N26" s="477">
        <f t="shared" si="14"/>
        <v>0</v>
      </c>
      <c r="O26" s="477">
        <f t="shared" si="15"/>
        <v>0</v>
      </c>
      <c r="P26" s="478">
        <f t="shared" si="16"/>
        <v>0</v>
      </c>
      <c r="Q26" s="476">
        <f t="shared" ca="1" si="17"/>
        <v>19652.249750805113</v>
      </c>
    </row>
    <row r="27" spans="1:17" s="482" customFormat="1">
      <c r="A27" s="480" t="s">
        <v>561</v>
      </c>
      <c r="B27" s="780">
        <f t="shared" ca="1" si="2"/>
        <v>7.5622718689158299</v>
      </c>
      <c r="C27" s="481">
        <f t="shared" ca="1" si="3"/>
        <v>0</v>
      </c>
      <c r="D27" s="481">
        <f t="shared" si="4"/>
        <v>25.028673905021268</v>
      </c>
      <c r="E27" s="481">
        <f t="shared" si="5"/>
        <v>42.428074503061602</v>
      </c>
      <c r="F27" s="481">
        <f t="shared" si="6"/>
        <v>0</v>
      </c>
      <c r="G27" s="481">
        <f t="shared" si="7"/>
        <v>14949.874663584065</v>
      </c>
      <c r="H27" s="481">
        <f t="shared" si="8"/>
        <v>3555.4168023316493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18580.310486192713</v>
      </c>
    </row>
    <row r="28" spans="1:17">
      <c r="A28" s="476" t="s">
        <v>551</v>
      </c>
      <c r="B28" s="477">
        <f t="shared" ca="1" si="2"/>
        <v>0</v>
      </c>
      <c r="C28" s="477">
        <f t="shared" ca="1" si="3"/>
        <v>0</v>
      </c>
      <c r="D28" s="477">
        <f t="shared" si="4"/>
        <v>0</v>
      </c>
      <c r="E28" s="477">
        <f t="shared" si="5"/>
        <v>0</v>
      </c>
      <c r="F28" s="477">
        <f t="shared" si="6"/>
        <v>0</v>
      </c>
      <c r="G28" s="477">
        <f t="shared" si="7"/>
        <v>340.57004477900489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340.57004477900489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130.81138943279379</v>
      </c>
      <c r="C32" s="477">
        <f t="shared" ca="1" si="3"/>
        <v>0</v>
      </c>
      <c r="D32" s="477">
        <f t="shared" si="4"/>
        <v>283.13624405555288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413.9476334883467</v>
      </c>
    </row>
    <row r="33" spans="1:17" s="486" customFormat="1">
      <c r="A33" s="1039" t="s">
        <v>555</v>
      </c>
      <c r="B33" s="987">
        <f ca="1">SUM(B22:B32)</f>
        <v>11386.064187342119</v>
      </c>
      <c r="C33" s="987">
        <f t="shared" ref="C33:Q33" ca="1" si="18">SUM(C22:C32)</f>
        <v>0</v>
      </c>
      <c r="D33" s="987">
        <f t="shared" ca="1" si="18"/>
        <v>22166.536661762169</v>
      </c>
      <c r="E33" s="987">
        <f t="shared" si="18"/>
        <v>503.93293103238648</v>
      </c>
      <c r="F33" s="987">
        <f t="shared" ca="1" si="18"/>
        <v>2226.4904336632208</v>
      </c>
      <c r="G33" s="987">
        <f t="shared" si="18"/>
        <v>15290.444708363069</v>
      </c>
      <c r="H33" s="987">
        <f t="shared" si="18"/>
        <v>3555.4168023316493</v>
      </c>
      <c r="I33" s="987">
        <f t="shared" si="18"/>
        <v>0</v>
      </c>
      <c r="J33" s="987">
        <f t="shared" si="18"/>
        <v>29.787036807332804</v>
      </c>
      <c r="K33" s="987">
        <f t="shared" si="18"/>
        <v>0</v>
      </c>
      <c r="L33" s="987">
        <f t="shared" ca="1" si="18"/>
        <v>0</v>
      </c>
      <c r="M33" s="987">
        <f t="shared" si="18"/>
        <v>0</v>
      </c>
      <c r="N33" s="987">
        <f t="shared" ca="1" si="18"/>
        <v>0</v>
      </c>
      <c r="O33" s="987">
        <f t="shared" si="18"/>
        <v>0</v>
      </c>
      <c r="P33" s="987">
        <f t="shared" si="18"/>
        <v>0</v>
      </c>
      <c r="Q33" s="987">
        <f t="shared" ca="1" si="18"/>
        <v>55158.672761301947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239.67219805802046</v>
      </c>
      <c r="C5" s="1056"/>
      <c r="D5" s="1056"/>
      <c r="E5" s="1056"/>
      <c r="F5" s="1056"/>
      <c r="G5" s="1056"/>
      <c r="H5" s="1056"/>
      <c r="I5" s="1056"/>
      <c r="J5" s="1056"/>
      <c r="K5" s="1056"/>
      <c r="L5" s="1056"/>
      <c r="M5" s="1056"/>
      <c r="N5" s="1056"/>
      <c r="O5" s="1056"/>
      <c r="P5" s="1057">
        <f>'SEAP template'!Q73</f>
        <v>0</v>
      </c>
    </row>
    <row r="6" spans="1:16">
      <c r="A6" s="1058" t="s">
        <v>251</v>
      </c>
      <c r="B6" s="1056">
        <f>'SEAP template'!B74</f>
        <v>746.33116401573579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986.00336207375631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0.21684992150565921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0.21684992150565921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0.21684992150565921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0.21684992150565921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2193</v>
      </c>
      <c r="C9" s="342">
        <v>2106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80152.720369981602</v>
      </c>
      <c r="E38" s="334">
        <v>0</v>
      </c>
      <c r="F38" s="334">
        <v>0</v>
      </c>
    </row>
    <row r="39" spans="1:6">
      <c r="A39" s="348" t="s">
        <v>30</v>
      </c>
      <c r="B39" s="348" t="s">
        <v>31</v>
      </c>
      <c r="C39" s="334">
        <v>2027</v>
      </c>
      <c r="D39" s="334">
        <v>29789739.6957094</v>
      </c>
      <c r="E39" s="334">
        <v>2328</v>
      </c>
      <c r="F39" s="334">
        <v>6847475.4516372699</v>
      </c>
    </row>
    <row r="40" spans="1:6">
      <c r="A40" s="348" t="s">
        <v>30</v>
      </c>
      <c r="B40" s="348" t="s">
        <v>29</v>
      </c>
      <c r="C40" s="334">
        <v>0</v>
      </c>
      <c r="D40" s="334">
        <v>0</v>
      </c>
      <c r="E40" s="334">
        <v>0</v>
      </c>
      <c r="F40" s="334">
        <v>0</v>
      </c>
    </row>
    <row r="41" spans="1:6">
      <c r="A41" s="348" t="s">
        <v>32</v>
      </c>
      <c r="B41" s="348" t="s">
        <v>33</v>
      </c>
      <c r="C41" s="334">
        <v>11</v>
      </c>
      <c r="D41" s="334">
        <v>331345.70387957501</v>
      </c>
      <c r="E41" s="334">
        <v>28</v>
      </c>
      <c r="F41" s="334">
        <v>320103.503487251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340753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841083.150372106</v>
      </c>
      <c r="E47" s="334">
        <v>3</v>
      </c>
      <c r="F47" s="334">
        <v>953027.99312415696</v>
      </c>
    </row>
    <row r="48" spans="1:6">
      <c r="A48" s="348" t="s">
        <v>32</v>
      </c>
      <c r="B48" s="348" t="s">
        <v>29</v>
      </c>
      <c r="C48" s="334">
        <v>25</v>
      </c>
      <c r="D48" s="334">
        <v>67733025.714453399</v>
      </c>
      <c r="E48" s="334">
        <v>29</v>
      </c>
      <c r="F48" s="334">
        <v>23424525.428920802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0</v>
      </c>
      <c r="D52" s="334">
        <v>0</v>
      </c>
      <c r="E52" s="334">
        <v>2</v>
      </c>
      <c r="F52" s="334">
        <v>872.66454386390001</v>
      </c>
    </row>
    <row r="53" spans="1:6">
      <c r="A53" s="348" t="s">
        <v>44</v>
      </c>
      <c r="B53" s="348" t="s">
        <v>45</v>
      </c>
      <c r="C53" s="334">
        <v>54</v>
      </c>
      <c r="D53" s="334">
        <v>1401664.5745324399</v>
      </c>
      <c r="E53" s="334">
        <v>139</v>
      </c>
      <c r="F53" s="334">
        <v>603234.66351533798</v>
      </c>
    </row>
    <row r="54" spans="1:6">
      <c r="A54" s="348" t="s">
        <v>46</v>
      </c>
      <c r="B54" s="348" t="s">
        <v>47</v>
      </c>
      <c r="C54" s="334">
        <v>0</v>
      </c>
      <c r="D54" s="334">
        <v>0</v>
      </c>
      <c r="E54" s="334">
        <v>1</v>
      </c>
      <c r="F54" s="334">
        <v>275125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92767.755197090402</v>
      </c>
      <c r="E57" s="334">
        <v>10</v>
      </c>
      <c r="F57" s="334">
        <v>58752.096987226898</v>
      </c>
    </row>
    <row r="58" spans="1:6">
      <c r="A58" s="348" t="s">
        <v>49</v>
      </c>
      <c r="B58" s="348" t="s">
        <v>51</v>
      </c>
      <c r="C58" s="334">
        <v>3</v>
      </c>
      <c r="D58" s="334">
        <v>122519.42976177001</v>
      </c>
      <c r="E58" s="334">
        <v>4</v>
      </c>
      <c r="F58" s="334">
        <v>18679.5871881938</v>
      </c>
    </row>
    <row r="59" spans="1:6">
      <c r="A59" s="348" t="s">
        <v>49</v>
      </c>
      <c r="B59" s="348" t="s">
        <v>52</v>
      </c>
      <c r="C59" s="334">
        <v>38</v>
      </c>
      <c r="D59" s="334">
        <v>7678570.0836239299</v>
      </c>
      <c r="E59" s="334">
        <v>67</v>
      </c>
      <c r="F59" s="334">
        <v>9042913.7064178791</v>
      </c>
    </row>
    <row r="60" spans="1:6">
      <c r="A60" s="348" t="s">
        <v>49</v>
      </c>
      <c r="B60" s="348" t="s">
        <v>53</v>
      </c>
      <c r="C60" s="334">
        <v>16</v>
      </c>
      <c r="D60" s="334">
        <v>1536766.49892857</v>
      </c>
      <c r="E60" s="334">
        <v>22</v>
      </c>
      <c r="F60" s="334">
        <v>1777904.12391567</v>
      </c>
    </row>
    <row r="61" spans="1:6">
      <c r="A61" s="348" t="s">
        <v>49</v>
      </c>
      <c r="B61" s="348" t="s">
        <v>54</v>
      </c>
      <c r="C61" s="334">
        <v>58</v>
      </c>
      <c r="D61" s="334">
        <v>6131361.0581534496</v>
      </c>
      <c r="E61" s="334">
        <v>161</v>
      </c>
      <c r="F61" s="334">
        <v>4686641.7744671004</v>
      </c>
    </row>
    <row r="62" spans="1:6">
      <c r="A62" s="348" t="s">
        <v>49</v>
      </c>
      <c r="B62" s="348" t="s">
        <v>55</v>
      </c>
      <c r="C62" s="334">
        <v>0</v>
      </c>
      <c r="D62" s="334">
        <v>0</v>
      </c>
      <c r="E62" s="334">
        <v>0</v>
      </c>
      <c r="F62" s="334">
        <v>0</v>
      </c>
    </row>
    <row r="63" spans="1:6">
      <c r="A63" s="348" t="s">
        <v>49</v>
      </c>
      <c r="B63" s="348" t="s">
        <v>29</v>
      </c>
      <c r="C63" s="334">
        <v>63</v>
      </c>
      <c r="D63" s="334">
        <v>5709296.6393316602</v>
      </c>
      <c r="E63" s="334">
        <v>83</v>
      </c>
      <c r="F63" s="334">
        <v>4012269.7657580399</v>
      </c>
    </row>
    <row r="64" spans="1:6">
      <c r="A64" s="348" t="s">
        <v>56</v>
      </c>
      <c r="B64" s="348" t="s">
        <v>57</v>
      </c>
      <c r="C64" s="334">
        <v>0</v>
      </c>
      <c r="D64" s="334">
        <v>0</v>
      </c>
      <c r="E64" s="334">
        <v>0</v>
      </c>
      <c r="F64" s="334">
        <v>0</v>
      </c>
    </row>
    <row r="65" spans="1:6">
      <c r="A65" s="348" t="s">
        <v>56</v>
      </c>
      <c r="B65" s="348" t="s">
        <v>29</v>
      </c>
      <c r="C65" s="334">
        <v>1</v>
      </c>
      <c r="D65" s="334">
        <v>19228.923257144001</v>
      </c>
      <c r="E65" s="334">
        <v>6</v>
      </c>
      <c r="F65" s="334">
        <v>77523.493521717304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18866281</v>
      </c>
      <c r="E73" s="475">
        <v>19114354.305501562</v>
      </c>
    </row>
    <row r="74" spans="1:6">
      <c r="A74" s="348" t="s">
        <v>64</v>
      </c>
      <c r="B74" s="348" t="s">
        <v>657</v>
      </c>
      <c r="C74" s="1295" t="s">
        <v>659</v>
      </c>
      <c r="D74" s="475">
        <v>555416.5</v>
      </c>
      <c r="E74" s="475">
        <v>540455.63653836993</v>
      </c>
    </row>
    <row r="75" spans="1:6">
      <c r="A75" s="348" t="s">
        <v>65</v>
      </c>
      <c r="B75" s="348" t="s">
        <v>656</v>
      </c>
      <c r="C75" s="1295" t="s">
        <v>660</v>
      </c>
      <c r="D75" s="475">
        <v>17961299</v>
      </c>
      <c r="E75" s="475">
        <v>18197462.925444257</v>
      </c>
    </row>
    <row r="76" spans="1:6">
      <c r="A76" s="348" t="s">
        <v>65</v>
      </c>
      <c r="B76" s="348" t="s">
        <v>657</v>
      </c>
      <c r="C76" s="1295" t="s">
        <v>661</v>
      </c>
      <c r="D76" s="475">
        <v>91789.5</v>
      </c>
      <c r="E76" s="475">
        <v>86214.63627543833</v>
      </c>
    </row>
    <row r="77" spans="1:6">
      <c r="A77" s="348" t="s">
        <v>66</v>
      </c>
      <c r="B77" s="348" t="s">
        <v>656</v>
      </c>
      <c r="C77" s="1295" t="s">
        <v>662</v>
      </c>
      <c r="D77" s="475">
        <v>51817575</v>
      </c>
      <c r="E77" s="475">
        <v>50944255.736528389</v>
      </c>
    </row>
    <row r="78" spans="1:6">
      <c r="A78" s="341" t="s">
        <v>66</v>
      </c>
      <c r="B78" s="341" t="s">
        <v>657</v>
      </c>
      <c r="C78" s="341" t="s">
        <v>663</v>
      </c>
      <c r="D78" s="1296">
        <v>3946316</v>
      </c>
      <c r="E78" s="1296">
        <v>3739420.7766544516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365597</v>
      </c>
      <c r="C83" s="475">
        <v>366094.16511730832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239.67219805802046</v>
      </c>
    </row>
    <row r="90" spans="1:6">
      <c r="A90" s="348" t="s">
        <v>549</v>
      </c>
      <c r="B90" s="1297">
        <v>0</v>
      </c>
    </row>
    <row r="91" spans="1:6">
      <c r="A91" s="348" t="s">
        <v>68</v>
      </c>
      <c r="B91" s="334">
        <v>109.50373582314734</v>
      </c>
    </row>
    <row r="92" spans="1:6">
      <c r="A92" s="341" t="s">
        <v>69</v>
      </c>
      <c r="B92" s="342">
        <v>636.8274281925884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52506.655793486068</v>
      </c>
      <c r="C3" s="43" t="s">
        <v>170</v>
      </c>
      <c r="D3" s="43"/>
      <c r="E3" s="154"/>
      <c r="F3" s="43"/>
      <c r="G3" s="43"/>
      <c r="H3" s="43"/>
      <c r="I3" s="43"/>
      <c r="J3" s="43"/>
      <c r="K3" s="96"/>
    </row>
    <row r="4" spans="1:11">
      <c r="A4" s="383" t="s">
        <v>171</v>
      </c>
      <c r="B4" s="49">
        <f>IF(ISERROR('SEAP template'!B78+'SEAP template'!C78),0,'SEAP template'!B78+'SEAP template'!C78)</f>
        <v>986.00336207375631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0.21684992150565921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275.125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275.125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0.21684992150565921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59.660834654244489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6847.4754516372695</v>
      </c>
      <c r="C5" s="17">
        <f>IF(ISERROR('Eigen informatie GS &amp; warmtenet'!B57),0,'Eigen informatie GS &amp; warmtenet'!B57)</f>
        <v>0</v>
      </c>
      <c r="D5" s="30">
        <f>(SUM(HH_hh_gas_kWh,HH_rest_gas_kWh)/1000)*0.902</f>
        <v>26870.345205529877</v>
      </c>
      <c r="E5" s="17">
        <f>B46*B57</f>
        <v>238.20113689170267</v>
      </c>
      <c r="F5" s="17">
        <f>B51*B62</f>
        <v>0</v>
      </c>
      <c r="G5" s="18"/>
      <c r="H5" s="17"/>
      <c r="I5" s="17"/>
      <c r="J5" s="17">
        <f>B50*B61+C50*C61</f>
        <v>0</v>
      </c>
      <c r="K5" s="17"/>
      <c r="L5" s="17"/>
      <c r="M5" s="17"/>
      <c r="N5" s="17">
        <f>B48*B59+C48*C59</f>
        <v>947.07263395828272</v>
      </c>
      <c r="O5" s="17">
        <f>B69*B70*B71</f>
        <v>6.2533333333333339</v>
      </c>
      <c r="P5" s="17">
        <f>B77*B78*B79/1000-B77*B78*B79/1000/B80</f>
        <v>19.066666666666666</v>
      </c>
    </row>
    <row r="6" spans="1:16">
      <c r="A6" s="16" t="s">
        <v>621</v>
      </c>
      <c r="B6" s="788">
        <f>kWh_PV_kleiner_dan_10kW</f>
        <v>109.50373582314734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6956.9791874604171</v>
      </c>
      <c r="C8" s="21">
        <f>C5</f>
        <v>0</v>
      </c>
      <c r="D8" s="21">
        <f>D5</f>
        <v>26870.345205529877</v>
      </c>
      <c r="E8" s="21">
        <f>E5</f>
        <v>238.20113689170267</v>
      </c>
      <c r="F8" s="21">
        <f>F5</f>
        <v>0</v>
      </c>
      <c r="G8" s="21"/>
      <c r="H8" s="21"/>
      <c r="I8" s="21"/>
      <c r="J8" s="21">
        <f>J5</f>
        <v>0</v>
      </c>
      <c r="K8" s="21"/>
      <c r="L8" s="21">
        <f>L5</f>
        <v>0</v>
      </c>
      <c r="M8" s="21">
        <f>M5</f>
        <v>0</v>
      </c>
      <c r="N8" s="21">
        <f>N5</f>
        <v>947.07263395828272</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0.21684992150565921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1508.6203907172962</v>
      </c>
      <c r="C12" s="23">
        <f ca="1">C10*C8</f>
        <v>0</v>
      </c>
      <c r="D12" s="23">
        <f>D8*D10</f>
        <v>5427.8097315170353</v>
      </c>
      <c r="E12" s="23">
        <f>E10*E8</f>
        <v>54.071658074416511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2193</v>
      </c>
      <c r="C28" s="36"/>
      <c r="D28" s="228"/>
    </row>
    <row r="29" spans="1:7" s="15" customFormat="1">
      <c r="A29" s="230" t="s">
        <v>794</v>
      </c>
      <c r="B29" s="37">
        <f>SUM(HH_hh_gas_aantal,HH_rest_gas_aantal)</f>
        <v>2027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2027</v>
      </c>
      <c r="C32" s="167">
        <f>IF(ISERROR(B32/SUM($B$32,$B$34,$B$35,$B$36,$B$38,$B$39)*100),0,B32/SUM($B$32,$B$34,$B$35,$B$36,$B$38,$B$39)*100)</f>
        <v>92.472627737226276</v>
      </c>
      <c r="D32" s="233"/>
      <c r="G32" s="15"/>
    </row>
    <row r="33" spans="1:7">
      <c r="A33" s="171" t="s">
        <v>72</v>
      </c>
      <c r="B33" s="34" t="s">
        <v>111</v>
      </c>
      <c r="C33" s="167"/>
      <c r="D33" s="233"/>
      <c r="G33" s="15"/>
    </row>
    <row r="34" spans="1:7">
      <c r="A34" s="171" t="s">
        <v>73</v>
      </c>
      <c r="B34" s="33">
        <f>IF((($B$28-$B$32-$B$39-$B$77-$B$38)*C20/100)&lt;0,0,($B$28-$B$32-$B$39-$B$77-$B$38)*C20/100)</f>
        <v>11.249999999999998</v>
      </c>
      <c r="C34" s="167">
        <f>IF(ISERROR(B34/SUM($B$32,$B$34,$B$35,$B$36,$B$38,$B$39)*100),0,B34/SUM($B$32,$B$34,$B$35,$B$36,$B$38,$B$39)*100)</f>
        <v>0.51322992700729919</v>
      </c>
      <c r="D34" s="233"/>
      <c r="G34" s="15"/>
    </row>
    <row r="35" spans="1:7">
      <c r="A35" s="171" t="s">
        <v>74</v>
      </c>
      <c r="B35" s="33">
        <f>IF((($B$28-$B$32-$B$39-$B$77-$B$38)*C21/100)&lt;0,0,($B$28-$B$32-$B$39-$B$77-$B$38)*C21/100)</f>
        <v>140.62500000000003</v>
      </c>
      <c r="C35" s="167">
        <f>IF(ISERROR(B35/SUM($B$32,$B$34,$B$35,$B$36,$B$38,$B$39)*100),0,B35/SUM($B$32,$B$34,$B$35,$B$36,$B$38,$B$39)*100)</f>
        <v>6.4153740875912426</v>
      </c>
      <c r="D35" s="233"/>
      <c r="G35" s="15"/>
    </row>
    <row r="36" spans="1:7">
      <c r="A36" s="171" t="s">
        <v>75</v>
      </c>
      <c r="B36" s="33">
        <f>IF((($B$28-$B$32-$B$39-$B$77-$B$38)*C22/100)&lt;0,0,($B$28-$B$32-$B$39-$B$77-$B$38)*C22/100)</f>
        <v>13.125</v>
      </c>
      <c r="C36" s="167">
        <f>IF(ISERROR(B36/SUM($B$32,$B$34,$B$35,$B$36,$B$38,$B$39)*100),0,B36/SUM($B$32,$B$34,$B$35,$B$36,$B$38,$B$39)*100)</f>
        <v>0.59876824817518248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2027</v>
      </c>
      <c r="C44" s="34" t="s">
        <v>111</v>
      </c>
      <c r="D44" s="174"/>
    </row>
    <row r="45" spans="1:7">
      <c r="A45" s="171" t="s">
        <v>72</v>
      </c>
      <c r="B45" s="33" t="str">
        <f t="shared" si="0"/>
        <v>-</v>
      </c>
      <c r="C45" s="34" t="s">
        <v>111</v>
      </c>
      <c r="D45" s="174"/>
    </row>
    <row r="46" spans="1:7">
      <c r="A46" s="171" t="s">
        <v>73</v>
      </c>
      <c r="B46" s="33">
        <f t="shared" si="0"/>
        <v>11.249999999999998</v>
      </c>
      <c r="C46" s="34" t="s">
        <v>111</v>
      </c>
      <c r="D46" s="174"/>
    </row>
    <row r="47" spans="1:7">
      <c r="A47" s="171" t="s">
        <v>74</v>
      </c>
      <c r="B47" s="33">
        <f t="shared" si="0"/>
        <v>140.62500000000003</v>
      </c>
      <c r="C47" s="34" t="s">
        <v>111</v>
      </c>
      <c r="D47" s="174"/>
    </row>
    <row r="48" spans="1:7">
      <c r="A48" s="171" t="s">
        <v>75</v>
      </c>
      <c r="B48" s="33">
        <f t="shared" si="0"/>
        <v>13.125</v>
      </c>
      <c r="C48" s="33">
        <f>B48*10</f>
        <v>131.25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19597.161054734112</v>
      </c>
      <c r="C5" s="17">
        <f>IF(ISERROR('Eigen informatie GS &amp; warmtenet'!B58),0,'Eigen informatie GS &amp; warmtenet'!B58)</f>
        <v>0</v>
      </c>
      <c r="D5" s="30">
        <f>SUM(D6:D12)</f>
        <v>19186.695881426818</v>
      </c>
      <c r="E5" s="17">
        <f>SUM(E6:E12)</f>
        <v>403.3695253480505</v>
      </c>
      <c r="F5" s="17">
        <f>SUM(F6:F12)</f>
        <v>3383.1369509275455</v>
      </c>
      <c r="G5" s="18"/>
      <c r="H5" s="17"/>
      <c r="I5" s="17"/>
      <c r="J5" s="17">
        <f>SUM(J6:J12)</f>
        <v>1.0991090217233384E-2</v>
      </c>
      <c r="K5" s="17"/>
      <c r="L5" s="17"/>
      <c r="M5" s="17"/>
      <c r="N5" s="17">
        <f>SUM(N6:N12)</f>
        <v>456.21019102158482</v>
      </c>
      <c r="O5" s="17">
        <f>B38*B39*B40</f>
        <v>0</v>
      </c>
      <c r="P5" s="17">
        <f>B46*B47*B48/1000-B46*B47*B48/1000/B49</f>
        <v>0</v>
      </c>
      <c r="R5" s="32"/>
    </row>
    <row r="6" spans="1:18">
      <c r="A6" s="32" t="s">
        <v>54</v>
      </c>
      <c r="B6" s="37">
        <f>B26</f>
        <v>4686.6417744671007</v>
      </c>
      <c r="C6" s="33"/>
      <c r="D6" s="37">
        <f>IF(ISERROR(TER_kantoor_gas_kWh/1000),0,TER_kantoor_gas_kWh/1000)*0.902</f>
        <v>5530.4876744544117</v>
      </c>
      <c r="E6" s="33">
        <f>$C$26*'E Balans VL '!I12/100/3.6*1000000</f>
        <v>2.9374311889725661E-2</v>
      </c>
      <c r="F6" s="33">
        <f>$C$26*('E Balans VL '!L12+'E Balans VL '!N12)/100/3.6*1000000</f>
        <v>704.27130144134014</v>
      </c>
      <c r="G6" s="34"/>
      <c r="H6" s="33"/>
      <c r="I6" s="33"/>
      <c r="J6" s="33">
        <f>$C$26*('E Balans VL '!D12+'E Balans VL '!E12)/100/3.6*1000000</f>
        <v>0</v>
      </c>
      <c r="K6" s="33"/>
      <c r="L6" s="33"/>
      <c r="M6" s="33"/>
      <c r="N6" s="33">
        <f>$C$26*'E Balans VL '!Y12/100/3.6*1000000</f>
        <v>4.4820779863766909</v>
      </c>
      <c r="O6" s="33"/>
      <c r="P6" s="33"/>
      <c r="R6" s="32"/>
    </row>
    <row r="7" spans="1:18">
      <c r="A7" s="32" t="s">
        <v>53</v>
      </c>
      <c r="B7" s="37">
        <f t="shared" ref="B7:B12" si="0">B27</f>
        <v>1777.90412391567</v>
      </c>
      <c r="C7" s="33"/>
      <c r="D7" s="37">
        <f>IF(ISERROR(TER_horeca_gas_kWh/1000),0,TER_horeca_gas_kWh/1000)*0.902</f>
        <v>1386.1633820335701</v>
      </c>
      <c r="E7" s="33">
        <f>$C$27*'E Balans VL '!I9/100/3.6*1000000</f>
        <v>25.459290912178353</v>
      </c>
      <c r="F7" s="33">
        <f>$C$27*('E Balans VL '!L9+'E Balans VL '!N9)/100/3.6*1000000</f>
        <v>225.14129962479237</v>
      </c>
      <c r="G7" s="34"/>
      <c r="H7" s="33"/>
      <c r="I7" s="33"/>
      <c r="J7" s="33">
        <f>$C$27*('E Balans VL '!D9+'E Balans VL '!E9)/100/3.6*1000000</f>
        <v>0</v>
      </c>
      <c r="K7" s="33"/>
      <c r="L7" s="33"/>
      <c r="M7" s="33"/>
      <c r="N7" s="33">
        <f>$C$27*'E Balans VL '!Y9/100/3.6*1000000</f>
        <v>0.51110823620468804</v>
      </c>
      <c r="O7" s="33"/>
      <c r="P7" s="33"/>
      <c r="R7" s="32"/>
    </row>
    <row r="8" spans="1:18">
      <c r="A8" s="6" t="s">
        <v>52</v>
      </c>
      <c r="B8" s="37">
        <f t="shared" si="0"/>
        <v>9042.9137064178794</v>
      </c>
      <c r="C8" s="33"/>
      <c r="D8" s="37">
        <f>IF(ISERROR(TER_handel_gas_kWh/1000),0,TER_handel_gas_kWh/1000)*0.902</f>
        <v>6926.0702154287856</v>
      </c>
      <c r="E8" s="33">
        <f>$C$28*'E Balans VL '!I13/100/3.6*1000000</f>
        <v>327.98536500961745</v>
      </c>
      <c r="F8" s="33">
        <f>$C$28*('E Balans VL '!L13+'E Balans VL '!N13)/100/3.6*1000000</f>
        <v>1741.7567451789027</v>
      </c>
      <c r="G8" s="34"/>
      <c r="H8" s="33"/>
      <c r="I8" s="33"/>
      <c r="J8" s="33">
        <f>$C$28*('E Balans VL '!D13+'E Balans VL '!E13)/100/3.6*1000000</f>
        <v>0</v>
      </c>
      <c r="K8" s="33"/>
      <c r="L8" s="33"/>
      <c r="M8" s="33"/>
      <c r="N8" s="33">
        <f>$C$28*'E Balans VL '!Y13/100/3.6*1000000</f>
        <v>12.526516165036989</v>
      </c>
      <c r="O8" s="33"/>
      <c r="P8" s="33"/>
      <c r="R8" s="32"/>
    </row>
    <row r="9" spans="1:18">
      <c r="A9" s="32" t="s">
        <v>51</v>
      </c>
      <c r="B9" s="37">
        <f t="shared" si="0"/>
        <v>18.6795871881938</v>
      </c>
      <c r="C9" s="33"/>
      <c r="D9" s="37">
        <f>IF(ISERROR(TER_gezond_gas_kWh/1000),0,TER_gezond_gas_kWh/1000)*0.902</f>
        <v>110.51252564511655</v>
      </c>
      <c r="E9" s="33">
        <f>$C$29*'E Balans VL '!I10/100/3.6*1000000</f>
        <v>1.169526585585642E-3</v>
      </c>
      <c r="F9" s="33">
        <f>$C$29*('E Balans VL '!L10+'E Balans VL '!N10)/100/3.6*1000000</f>
        <v>2.774909550732791</v>
      </c>
      <c r="G9" s="34"/>
      <c r="H9" s="33"/>
      <c r="I9" s="33"/>
      <c r="J9" s="33">
        <f>$C$29*('E Balans VL '!D10+'E Balans VL '!E10)/100/3.6*1000000</f>
        <v>0</v>
      </c>
      <c r="K9" s="33"/>
      <c r="L9" s="33"/>
      <c r="M9" s="33"/>
      <c r="N9" s="33">
        <f>$C$29*'E Balans VL '!Y10/100/3.6*1000000</f>
        <v>0.28893765705307367</v>
      </c>
      <c r="O9" s="33"/>
      <c r="P9" s="33"/>
      <c r="R9" s="32"/>
    </row>
    <row r="10" spans="1:18">
      <c r="A10" s="32" t="s">
        <v>50</v>
      </c>
      <c r="B10" s="37">
        <f t="shared" si="0"/>
        <v>58.752096987226899</v>
      </c>
      <c r="C10" s="33"/>
      <c r="D10" s="37">
        <f>IF(ISERROR(TER_ander_gas_kWh/1000),0,TER_ander_gas_kWh/1000)*0.902</f>
        <v>83.67651518777555</v>
      </c>
      <c r="E10" s="33">
        <f>$C$30*'E Balans VL '!I14/100/3.6*1000000</f>
        <v>7.0030400163572037E-2</v>
      </c>
      <c r="F10" s="33">
        <f>$C$30*('E Balans VL '!L14+'E Balans VL '!N14)/100/3.6*1000000</f>
        <v>15.37216048494275</v>
      </c>
      <c r="G10" s="34"/>
      <c r="H10" s="33"/>
      <c r="I10" s="33"/>
      <c r="J10" s="33">
        <f>$C$30*('E Balans VL '!D14+'E Balans VL '!E14)/100/3.6*1000000</f>
        <v>1.2752777237315916E-3</v>
      </c>
      <c r="K10" s="33"/>
      <c r="L10" s="33"/>
      <c r="M10" s="33"/>
      <c r="N10" s="33">
        <f>$C$30*'E Balans VL '!Y14/100/3.6*1000000</f>
        <v>49.890843117976075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4012.2697657580397</v>
      </c>
      <c r="C12" s="33"/>
      <c r="D12" s="37">
        <f>IF(ISERROR(TER_rest_gas_kWh/1000),0,TER_rest_gas_kWh/1000)*0.902</f>
        <v>5149.7855686771572</v>
      </c>
      <c r="E12" s="33">
        <f>$C$32*'E Balans VL '!I8/100/3.6*1000000</f>
        <v>49.82429518761581</v>
      </c>
      <c r="F12" s="33">
        <f>$C$32*('E Balans VL '!L8+'E Balans VL '!N8)/100/3.6*1000000</f>
        <v>693.82053464683463</v>
      </c>
      <c r="G12" s="34"/>
      <c r="H12" s="33"/>
      <c r="I12" s="33"/>
      <c r="J12" s="33">
        <f>$C$32*('E Balans VL '!D8+'E Balans VL '!E8)/100/3.6*1000000</f>
        <v>9.7158124935017923E-3</v>
      </c>
      <c r="K12" s="33"/>
      <c r="L12" s="33"/>
      <c r="M12" s="33"/>
      <c r="N12" s="33">
        <f>$C$32*'E Balans VL '!Y8/100/3.6*1000000</f>
        <v>388.51070785893728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19597.161054734112</v>
      </c>
      <c r="C16" s="21">
        <f t="shared" ca="1" si="1"/>
        <v>0</v>
      </c>
      <c r="D16" s="21">
        <f t="shared" ca="1" si="1"/>
        <v>19186.695881426818</v>
      </c>
      <c r="E16" s="21">
        <f t="shared" si="1"/>
        <v>403.3695253480505</v>
      </c>
      <c r="F16" s="21">
        <f t="shared" ca="1" si="1"/>
        <v>3383.1369509275455</v>
      </c>
      <c r="G16" s="21">
        <f t="shared" si="1"/>
        <v>0</v>
      </c>
      <c r="H16" s="21">
        <f t="shared" si="1"/>
        <v>0</v>
      </c>
      <c r="I16" s="21">
        <f t="shared" si="1"/>
        <v>0</v>
      </c>
      <c r="J16" s="21">
        <f t="shared" si="1"/>
        <v>1.0991090217233384E-2</v>
      </c>
      <c r="K16" s="21">
        <f t="shared" si="1"/>
        <v>0</v>
      </c>
      <c r="L16" s="21">
        <f t="shared" ca="1" si="1"/>
        <v>0</v>
      </c>
      <c r="M16" s="21">
        <f t="shared" si="1"/>
        <v>0</v>
      </c>
      <c r="N16" s="21">
        <f t="shared" ca="1" si="1"/>
        <v>456.21019102158482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0.21684992150565921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4249.6428364528538</v>
      </c>
      <c r="C20" s="23">
        <f t="shared" ref="C20:P20" ca="1" si="2">C16*C18</f>
        <v>0</v>
      </c>
      <c r="D20" s="23">
        <f t="shared" ca="1" si="2"/>
        <v>3875.7125680482177</v>
      </c>
      <c r="E20" s="23">
        <f t="shared" si="2"/>
        <v>91.564882254007472</v>
      </c>
      <c r="F20" s="23">
        <f t="shared" ca="1" si="2"/>
        <v>903.29756589765475</v>
      </c>
      <c r="G20" s="23">
        <f t="shared" si="2"/>
        <v>0</v>
      </c>
      <c r="H20" s="23">
        <f t="shared" si="2"/>
        <v>0</v>
      </c>
      <c r="I20" s="23">
        <f t="shared" si="2"/>
        <v>0</v>
      </c>
      <c r="J20" s="23">
        <f t="shared" si="2"/>
        <v>3.8908459369006178E-3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4686.6417744671007</v>
      </c>
      <c r="C26" s="39">
        <f>IF(ISERROR(B26*3.6/1000000/'E Balans VL '!Z12*100),0,B26*3.6/1000000/'E Balans VL '!Z12*100)</f>
        <v>9.9068182871970251E-2</v>
      </c>
      <c r="D26" s="237" t="s">
        <v>754</v>
      </c>
      <c r="F26" s="6"/>
    </row>
    <row r="27" spans="1:18">
      <c r="A27" s="231" t="s">
        <v>53</v>
      </c>
      <c r="B27" s="33">
        <f>IF(ISERROR(TER_horeca_ele_kWh/1000),0,TER_horeca_ele_kWh/1000)</f>
        <v>1777.90412391567</v>
      </c>
      <c r="C27" s="39">
        <f>IF(ISERROR(B27*3.6/1000000/'E Balans VL '!Z9*100),0,B27*3.6/1000000/'E Balans VL '!Z9*100)</f>
        <v>0.14015151942957535</v>
      </c>
      <c r="D27" s="237" t="s">
        <v>754</v>
      </c>
      <c r="F27" s="6"/>
    </row>
    <row r="28" spans="1:18">
      <c r="A28" s="171" t="s">
        <v>52</v>
      </c>
      <c r="B28" s="33">
        <f>IF(ISERROR(TER_handel_ele_kWh/1000),0,TER_handel_ele_kWh/1000)</f>
        <v>9042.9137064178794</v>
      </c>
      <c r="C28" s="39">
        <f>IF(ISERROR(B28*3.6/1000000/'E Balans VL '!Z13*100),0,B28*3.6/1000000/'E Balans VL '!Z13*100)</f>
        <v>0.26246189322586688</v>
      </c>
      <c r="D28" s="237" t="s">
        <v>754</v>
      </c>
      <c r="F28" s="6"/>
    </row>
    <row r="29" spans="1:18">
      <c r="A29" s="231" t="s">
        <v>51</v>
      </c>
      <c r="B29" s="33">
        <f>IF(ISERROR(TER_gezond_ele_kWh/1000),0,TER_gezond_ele_kWh/1000)</f>
        <v>18.6795871881938</v>
      </c>
      <c r="C29" s="39">
        <f>IF(ISERROR(B29*3.6/1000000/'E Balans VL '!Z10*100),0,B29*3.6/1000000/'E Balans VL '!Z10*100)</f>
        <v>1.9672672578348424E-3</v>
      </c>
      <c r="D29" s="237" t="s">
        <v>754</v>
      </c>
      <c r="F29" s="6"/>
    </row>
    <row r="30" spans="1:18">
      <c r="A30" s="231" t="s">
        <v>50</v>
      </c>
      <c r="B30" s="33">
        <f>IF(ISERROR(TER_ander_ele_kWh/1000),0,TER_ander_ele_kWh/1000)</f>
        <v>58.752096987226899</v>
      </c>
      <c r="C30" s="39">
        <f>IF(ISERROR(B30*3.6/1000000/'E Balans VL '!Z14*100),0,B30*3.6/1000000/'E Balans VL '!Z14*100)</f>
        <v>4.3335674346698444E-3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4012.2697657580397</v>
      </c>
      <c r="C32" s="39">
        <f>IF(ISERROR(B32*3.6/1000000/'E Balans VL '!Z8*100),0,B32*3.6/1000000/'E Balans VL '!Z8*100)</f>
        <v>3.3015654425450833E-2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25038.409925532211</v>
      </c>
      <c r="C5" s="17">
        <f>IF(ISERROR('Eigen informatie GS &amp; warmtenet'!B59),0,'Eigen informatie GS &amp; warmtenet'!B59)</f>
        <v>0</v>
      </c>
      <c r="D5" s="30">
        <f>SUM(D6:D15)</f>
        <v>62152.720020971981</v>
      </c>
      <c r="E5" s="17">
        <f>SUM(E6:E15)</f>
        <v>1391.4647294632821</v>
      </c>
      <c r="F5" s="17">
        <f>SUM(F6:F15)</f>
        <v>4952.1430576237553</v>
      </c>
      <c r="G5" s="18"/>
      <c r="H5" s="17"/>
      <c r="I5" s="17"/>
      <c r="J5" s="17">
        <f>SUM(J6:J15)</f>
        <v>84.00675033018905</v>
      </c>
      <c r="K5" s="17"/>
      <c r="L5" s="17"/>
      <c r="M5" s="17"/>
      <c r="N5" s="17">
        <f>SUM(N6:N15)</f>
        <v>8135.3440844034503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340.75299999999999</v>
      </c>
      <c r="C8" s="33"/>
      <c r="D8" s="37">
        <f>IF( ISERROR(IND_metaal_Gas_kWH/1000),0,IND_metaal_Gas_kWH/1000)*0.902</f>
        <v>0</v>
      </c>
      <c r="E8" s="33">
        <f>C30*'E Balans VL '!I18/100/3.6*1000000</f>
        <v>3.1328947326228271</v>
      </c>
      <c r="F8" s="33">
        <f>C30*'E Balans VL '!L18/100/3.6*1000000+C30*'E Balans VL '!N18/100/3.6*1000000</f>
        <v>31.951286584255744</v>
      </c>
      <c r="G8" s="34"/>
      <c r="H8" s="33"/>
      <c r="I8" s="33"/>
      <c r="J8" s="40">
        <f>C30*'E Balans VL '!D18/100/3.6*1000000+C30*'E Balans VL '!E18/100/3.6*1000000</f>
        <v>0</v>
      </c>
      <c r="K8" s="33"/>
      <c r="L8" s="33"/>
      <c r="M8" s="33"/>
      <c r="N8" s="33">
        <f>C30*'E Balans VL '!Y18/100/3.6*1000000</f>
        <v>4.8614046630459926</v>
      </c>
      <c r="O8" s="33"/>
      <c r="P8" s="33"/>
      <c r="R8" s="32"/>
    </row>
    <row r="9" spans="1:18">
      <c r="A9" s="6" t="s">
        <v>33</v>
      </c>
      <c r="B9" s="37">
        <f t="shared" si="0"/>
        <v>320.10350348725098</v>
      </c>
      <c r="C9" s="33"/>
      <c r="D9" s="37">
        <f>IF( ISERROR(IND_andere_gas_kWh/1000),0,IND_andere_gas_kWh/1000)*0.902</f>
        <v>298.87382489937664</v>
      </c>
      <c r="E9" s="33">
        <f>C31*'E Balans VL '!I19/100/3.6*1000000</f>
        <v>93.572485749513945</v>
      </c>
      <c r="F9" s="33">
        <f>C31*'E Balans VL '!L19/100/3.6*1000000+C31*'E Balans VL '!N19/100/3.6*1000000</f>
        <v>257.22739466086017</v>
      </c>
      <c r="G9" s="34"/>
      <c r="H9" s="33"/>
      <c r="I9" s="33"/>
      <c r="J9" s="40">
        <f>C31*'E Balans VL '!D19/100/3.6*1000000+C31*'E Balans VL '!E19/100/3.6*1000000</f>
        <v>0</v>
      </c>
      <c r="K9" s="33"/>
      <c r="L9" s="33"/>
      <c r="M9" s="33"/>
      <c r="N9" s="33">
        <f>C31*'E Balans VL '!Y19/100/3.6*1000000</f>
        <v>105.76716200554678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953.02799312415698</v>
      </c>
      <c r="C13" s="33"/>
      <c r="D13" s="37">
        <f>IF( ISERROR(IND_papier_gas_kWh/1000),0,IND_papier_gas_kWh/1000)*0.902</f>
        <v>758.65700163563963</v>
      </c>
      <c r="E13" s="33">
        <f>C35*'E Balans VL '!I23/100/3.6*1000000</f>
        <v>1.3521287664331381</v>
      </c>
      <c r="F13" s="33">
        <f>C35*'E Balans VL '!L23/100/3.6*1000000+C35*'E Balans VL '!N23/100/3.6*1000000</f>
        <v>23.266996928466366</v>
      </c>
      <c r="G13" s="34"/>
      <c r="H13" s="33"/>
      <c r="I13" s="33"/>
      <c r="J13" s="40">
        <f>C35*'E Balans VL '!D23/100/3.6*1000000+C35*'E Balans VL '!E23/100/3.6*1000000</f>
        <v>0.14739472670869258</v>
      </c>
      <c r="K13" s="33"/>
      <c r="L13" s="33"/>
      <c r="M13" s="33"/>
      <c r="N13" s="33">
        <f>C35*'E Balans VL '!Y23/100/3.6*1000000</f>
        <v>2770.2267787904552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23424.525428920802</v>
      </c>
      <c r="C15" s="33"/>
      <c r="D15" s="37">
        <f>IF( ISERROR(IND_rest_gas_kWh/1000),0,IND_rest_gas_kWh/1000)*0.902</f>
        <v>61095.189194436964</v>
      </c>
      <c r="E15" s="33">
        <f>C37*'E Balans VL '!I15/100/3.6*1000000</f>
        <v>1293.4072202147122</v>
      </c>
      <c r="F15" s="33">
        <f>C37*'E Balans VL '!L15/100/3.6*1000000+C37*'E Balans VL '!N15/100/3.6*1000000</f>
        <v>4639.6973794501728</v>
      </c>
      <c r="G15" s="34"/>
      <c r="H15" s="33"/>
      <c r="I15" s="33"/>
      <c r="J15" s="40">
        <f>C37*'E Balans VL '!D15/100/3.6*1000000+C37*'E Balans VL '!E15/100/3.6*1000000</f>
        <v>83.859355603480353</v>
      </c>
      <c r="K15" s="33"/>
      <c r="L15" s="33"/>
      <c r="M15" s="33"/>
      <c r="N15" s="33">
        <f>C37*'E Balans VL '!Y15/100/3.6*1000000</f>
        <v>5254.488738944402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25038.409925532211</v>
      </c>
      <c r="C18" s="21">
        <f>C5+C16</f>
        <v>0</v>
      </c>
      <c r="D18" s="21">
        <f>MAX((D5+D16),0)</f>
        <v>62152.720020971981</v>
      </c>
      <c r="E18" s="21">
        <f>MAX((E5+E16),0)</f>
        <v>1391.4647294632821</v>
      </c>
      <c r="F18" s="21">
        <f>MAX((F5+F16),0)</f>
        <v>4952.1430576237553</v>
      </c>
      <c r="G18" s="21"/>
      <c r="H18" s="21"/>
      <c r="I18" s="21"/>
      <c r="J18" s="21">
        <f>MAX((J5+J16),0)</f>
        <v>84.00675033018905</v>
      </c>
      <c r="K18" s="21"/>
      <c r="L18" s="21">
        <f>MAX((L5+L16),0)</f>
        <v>0</v>
      </c>
      <c r="M18" s="21"/>
      <c r="N18" s="21">
        <f>MAX((N5+N16),0)</f>
        <v>8135.3440844034503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0.21684992150565921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5429.5772269781783</v>
      </c>
      <c r="C22" s="23">
        <f ca="1">C18*C20</f>
        <v>0</v>
      </c>
      <c r="D22" s="23">
        <f>D18*D20</f>
        <v>12554.849444236341</v>
      </c>
      <c r="E22" s="23">
        <f>E18*E20</f>
        <v>315.86249358816502</v>
      </c>
      <c r="F22" s="23">
        <f>F18*F20</f>
        <v>1322.2221963855427</v>
      </c>
      <c r="G22" s="23"/>
      <c r="H22" s="23"/>
      <c r="I22" s="23"/>
      <c r="J22" s="23">
        <f>J18*J20</f>
        <v>29.738389616886924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340.75299999999999</v>
      </c>
      <c r="C30" s="39">
        <f>IF(ISERROR(B30*3.6/1000000/'E Balans VL '!Z18*100),0,B30*3.6/1000000/'E Balans VL '!Z18*100)</f>
        <v>1.931134625783934E-2</v>
      </c>
      <c r="D30" s="237" t="s">
        <v>754</v>
      </c>
    </row>
    <row r="31" spans="1:18">
      <c r="A31" s="6" t="s">
        <v>33</v>
      </c>
      <c r="B31" s="37">
        <f>IF( ISERROR(IND_ander_ele_kWh/1000),0,IND_ander_ele_kWh/1000)</f>
        <v>320.10350348725098</v>
      </c>
      <c r="C31" s="39">
        <f>IF(ISERROR(B31*3.6/1000000/'E Balans VL '!Z19*100),0,B31*3.6/1000000/'E Balans VL '!Z19*100)</f>
        <v>1.4518562030391688E-2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953.02799312415698</v>
      </c>
      <c r="C35" s="39">
        <f>IF(ISERROR(B35*3.6/1000000/'E Balans VL '!Z22*100),0,B35*3.6/1000000/'E Balans VL '!Z22*100)</f>
        <v>0.17142000183209585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23424.525428920802</v>
      </c>
      <c r="C37" s="39">
        <f>IF(ISERROR(B37*3.6/1000000/'E Balans VL '!Z15*100),0,B37*3.6/1000000/'E Balans VL '!Z15*100)</f>
        <v>0.1856681320774044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0.87266454386390002</v>
      </c>
      <c r="C5" s="17">
        <f>'Eigen informatie GS &amp; warmtenet'!B60</f>
        <v>0</v>
      </c>
      <c r="D5" s="30">
        <f>IF(ISERROR(SUM(LB_lb_gas_kWh,LB_rest_gas_kWh)/1000),0,SUM(LB_lb_gas_kWh,LB_rest_gas_kWh)/1000)*0.902</f>
        <v>0</v>
      </c>
      <c r="E5" s="17">
        <f>B17*'E Balans VL '!I25/3.6*1000000/100</f>
        <v>2.5650276369324345E-2</v>
      </c>
      <c r="F5" s="17">
        <f>B17*('E Balans VL '!L25/3.6*1000000+'E Balans VL '!N25/3.6*1000000)/100</f>
        <v>3.6354733334201814</v>
      </c>
      <c r="G5" s="18"/>
      <c r="H5" s="17"/>
      <c r="I5" s="17"/>
      <c r="J5" s="17">
        <f>('E Balans VL '!D25+'E Balans VL '!E25)/3.6*1000000*landbouw!B17/100</f>
        <v>0.12643035172027708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0.87266454386390002</v>
      </c>
      <c r="C8" s="21">
        <f>C5+C6</f>
        <v>0</v>
      </c>
      <c r="D8" s="21">
        <f>MAX((D5+D6),0)</f>
        <v>0</v>
      </c>
      <c r="E8" s="21">
        <f>MAX((E5+E6),0)</f>
        <v>2.5650276369324345E-2</v>
      </c>
      <c r="F8" s="21">
        <f>MAX((F5+F6),0)</f>
        <v>3.6354733334201814</v>
      </c>
      <c r="G8" s="21"/>
      <c r="H8" s="21"/>
      <c r="I8" s="21"/>
      <c r="J8" s="21">
        <f>MAX((J5+J6),0)</f>
        <v>0.12643035172027708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0.21684992150565921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0.18923723783765861</v>
      </c>
      <c r="C12" s="23">
        <f ca="1">C8*C10</f>
        <v>0</v>
      </c>
      <c r="D12" s="23">
        <f>D8*D10</f>
        <v>0</v>
      </c>
      <c r="E12" s="23">
        <f>E8*E10</f>
        <v>5.8226127358366265E-3</v>
      </c>
      <c r="F12" s="23">
        <f>F8*F10</f>
        <v>0.97067138002318853</v>
      </c>
      <c r="G12" s="23"/>
      <c r="H12" s="23"/>
      <c r="I12" s="23"/>
      <c r="J12" s="23">
        <f>J8*J10</f>
        <v>4.4756344508978085E-2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1.2383383667579628E-4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1.1255795866083305E-2</v>
      </c>
      <c r="C29" s="247">
        <f>B29*'GWP N2O_CH4'!B4</f>
        <v>3.4892967184858246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2.5685338274420373E-6</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1.2554387172045395E-4</v>
      </c>
      <c r="C5" s="463" t="s">
        <v>211</v>
      </c>
      <c r="D5" s="448">
        <f>SUM(D6:D11)</f>
        <v>4.4605557454493344E-4</v>
      </c>
      <c r="E5" s="448">
        <f>SUM(E6:E11)</f>
        <v>6.7286814189877417E-4</v>
      </c>
      <c r="F5" s="461" t="s">
        <v>211</v>
      </c>
      <c r="G5" s="448">
        <f>SUM(G6:G11)</f>
        <v>0.20157134377866154</v>
      </c>
      <c r="H5" s="448">
        <f>SUM(H6:H11)</f>
        <v>5.1403616419252764E-2</v>
      </c>
      <c r="I5" s="463" t="s">
        <v>211</v>
      </c>
      <c r="J5" s="463" t="s">
        <v>211</v>
      </c>
      <c r="K5" s="463" t="s">
        <v>211</v>
      </c>
      <c r="L5" s="463" t="s">
        <v>211</v>
      </c>
      <c r="M5" s="448">
        <f>SUM(M6:M11)</f>
        <v>1.3293235283378241E-2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2.6719406849771286E-5</v>
      </c>
      <c r="C6" s="449"/>
      <c r="D6" s="892">
        <f>vkm_2011_GW_PW*SUMIFS(TableVerdeelsleutelVkm[CNG],TableVerdeelsleutelVkm[Voertuigtype],"Lichte voertuigen")*SUMIFS(TableECFTransport[EnergieConsumptieFactor (PJ per km)],TableECFTransport[Index],CONCATENATE($A6,"_CNG_CNG"))</f>
        <v>8.014288500471836E-5</v>
      </c>
      <c r="E6" s="892">
        <f>vkm_2011_GW_PW*SUMIFS(TableVerdeelsleutelVkm[LPG],TableVerdeelsleutelVkm[Voertuigtype],"Lichte voertuigen")*SUMIFS(TableECFTransport[EnergieConsumptieFactor (PJ per km)],TableECFTransport[Index],CONCATENATE($A6,"_LPG_LPG"))</f>
        <v>1.0948669287454096E-4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2.8308239829346993E-2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9.1153310023108051E-3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1.9227956085161244E-3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5.2120557000544139E-3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1.5885286678666155E-6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3.0457495063336982E-4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2.5437724347018375E-5</v>
      </c>
      <c r="C8" s="449"/>
      <c r="D8" s="451">
        <f>vkm_2011_NGW_PW*SUMIFS(TableVerdeelsleutelVkm[CNG],TableVerdeelsleutelVkm[Voertuigtype],"Lichte voertuigen")*SUMIFS(TableECFTransport[EnergieConsumptieFactor (PJ per km)],TableECFTransport[Index],CONCATENATE($A8,"_CNG_CNG"))</f>
        <v>1.3565971772305186E-4</v>
      </c>
      <c r="E8" s="451">
        <f>vkm_2011_NGW_PW*SUMIFS(TableVerdeelsleutelVkm[LPG],TableVerdeelsleutelVkm[Voertuigtype],"Lichte voertuigen")*SUMIFS(TableECFTransport[EnergieConsumptieFactor (PJ per km)],TableECFTransport[Index],CONCATENATE($A8,"_LPG_LPG"))</f>
        <v>1.7163722223587132E-4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4.1355150970917916E-2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1.4994319873496991E-2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2.8584677761177959E-3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1.1044698083344923E-3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3.1689859152383038E-7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6.4540907744492978E-5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7.3386740523664272E-5</v>
      </c>
      <c r="C10" s="449"/>
      <c r="D10" s="451">
        <f>vkm_2011_SW_PW*SUMIFS(TableVerdeelsleutelVkm[CNG],TableVerdeelsleutelVkm[Voertuigtype],"Lichte voertuigen")*SUMIFS(TableECFTransport[EnergieConsumptieFactor (PJ per km)],TableECFTransport[Index],CONCATENATE($A10,"_CNG_CNG"))</f>
        <v>2.3025297181716325E-4</v>
      </c>
      <c r="E10" s="451">
        <f>vkm_2011_SW_PW*SUMIFS(TableVerdeelsleutelVkm[LPG],TableVerdeelsleutelVkm[Voertuigtype],"Lichte voertuigen")*SUMIFS(TableECFTransport[EnergieConsumptieFactor (PJ per km)],TableECFTransport[Index],CONCATENATE($A10,"_LPG_LPG"))</f>
        <v>3.9174422678836188E-4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9.0297931848666857E-2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2.7280444019704649E-2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6.0803978872518366E-3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3.5293495621340883E-2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1.1616096480930799E-5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2.0624581531146205E-3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34.873297700126095</v>
      </c>
      <c r="C14" s="21"/>
      <c r="D14" s="21">
        <f t="shared" ref="D14:M14" si="0">((D5)*10^9/3600)+D12</f>
        <v>123.90432626248152</v>
      </c>
      <c r="E14" s="21">
        <f t="shared" si="0"/>
        <v>186.90781719410396</v>
      </c>
      <c r="F14" s="21"/>
      <c r="G14" s="21">
        <f t="shared" si="0"/>
        <v>55992.039938517097</v>
      </c>
      <c r="H14" s="21">
        <f t="shared" si="0"/>
        <v>14278.782338681322</v>
      </c>
      <c r="I14" s="21"/>
      <c r="J14" s="21"/>
      <c r="K14" s="21"/>
      <c r="L14" s="21"/>
      <c r="M14" s="21">
        <f t="shared" si="0"/>
        <v>3692.5653564939562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0.21684992150565921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7.5622718689158299</v>
      </c>
      <c r="C18" s="23"/>
      <c r="D18" s="23">
        <f t="shared" ref="D18:M18" si="1">D14*D16</f>
        <v>25.028673905021268</v>
      </c>
      <c r="E18" s="23">
        <f t="shared" si="1"/>
        <v>42.428074503061602</v>
      </c>
      <c r="F18" s="23"/>
      <c r="G18" s="23">
        <f t="shared" si="1"/>
        <v>14949.874663584065</v>
      </c>
      <c r="H18" s="23">
        <f t="shared" si="1"/>
        <v>3555.4168023316493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4.5919556599416387E-3</v>
      </c>
      <c r="H50" s="321">
        <f t="shared" si="2"/>
        <v>0</v>
      </c>
      <c r="I50" s="321">
        <f t="shared" si="2"/>
        <v>0</v>
      </c>
      <c r="J50" s="321">
        <f t="shared" si="2"/>
        <v>0</v>
      </c>
      <c r="K50" s="321">
        <f t="shared" si="2"/>
        <v>0</v>
      </c>
      <c r="L50" s="321">
        <f t="shared" si="2"/>
        <v>0</v>
      </c>
      <c r="M50" s="321">
        <f t="shared" si="2"/>
        <v>2.608028099456697E-4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4.5919556599416387E-3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2.608028099456697E-4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1275.5432388726774</v>
      </c>
      <c r="H54" s="21">
        <f t="shared" si="3"/>
        <v>0</v>
      </c>
      <c r="I54" s="21">
        <f t="shared" si="3"/>
        <v>0</v>
      </c>
      <c r="J54" s="21">
        <f t="shared" si="3"/>
        <v>0</v>
      </c>
      <c r="K54" s="21">
        <f t="shared" si="3"/>
        <v>0</v>
      </c>
      <c r="L54" s="21">
        <f t="shared" si="3"/>
        <v>0</v>
      </c>
      <c r="M54" s="21">
        <f t="shared" si="3"/>
        <v>72.445224984908251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0.21684992150565921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340.57004477900489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239.67219805802046</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746.33116401573579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986.00336207375631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2019-08-12T08:32:30Z</dcterms:modified>
</cp:coreProperties>
</file>