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<sst xmlns="http://schemas.openxmlformats.org/spreadsheetml/2006/main" count="2401" uniqueCount="891">
  <si>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</si>
  <si>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</si>
  <si>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</si>
  <si>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</si>
  <si>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</si>
  <si>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</si>
  <si>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</si>
  <si>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</si>
  <si>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</si>
  <si>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</si>
  <si>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</si>
  <si>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</si>
  <si>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</si>
  <si>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</si>
  <si>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</si>
  <si>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</si>
  <si>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</si>
  <si>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</si>
  <si>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</si>
  <si>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</si>
  <si>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</si>
  <si>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</si>
  <si>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</si>
  <si>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</si>
  <si>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</si>
  <si>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</si>
  <si>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</si>
  <si>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</si>
  <si>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</si>
  <si>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</si>
  <si>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</si>
  <si>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</si>
  <si>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</si>
  <si>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</si>
  <si>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</si>
  <si>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</si>
  <si>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</si>
  <si>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</si>
  <si>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</si>
  <si>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</si>
  <si>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</si>
  <si>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</si>
  <si>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</si>
  <si>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</si>
  <si>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</si>
  <si>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</si>
  <si>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</si>
  <si>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</si>
  <si>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</si>
  <si>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</si>
  <si>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</si>
  <si>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</si>
  <si>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</si>
  <si>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</si>
  <si>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</si>
  <si>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</si>
  <si>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</si>
  <si>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</si>
  <si>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</si>
  <si>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</si>
  <si>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</si>
  <si>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</si>
  <si>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</si>
  <si>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</si>
  <si>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</si>
  <si>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</si>
  <si>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</si>
  <si>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</si>
  <si>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</si>
  <si>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</si>
  <si>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</si>
  <si>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</si>
  <si>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</si>
  <si>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</si>
  <si>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</si>
  <si>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</si>
  <si>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</si>
  <si>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</si>
  <si>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</si>
  <si>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</si>
  <si>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</si>
  <si>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</si>
  <si>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</si>
  <si>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</si>
  <si>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</si>
  <si>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</si>
  <si>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</si>
  <si>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</si>
  <si>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</si>
  <si>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</si>
  <si>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</si>
  <si>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</si>
  <si>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</si>
  <si>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</si>
  <si>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</si>
  <si>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</si>
  <si>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</si>
  <si>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</si>
  <si>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</si>
  <si>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</si>
  <si>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</si>
  <si>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</si>
  <si>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</si>
  <si>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</si>
  <si>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</si>
  <si>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</si>
  <si>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</si>
  <si>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</si>
  <si>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</si>
  <si>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</si>
  <si>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</si>
  <si>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</si>
  <si>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</si>
  <si>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</si>
  <si>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</si>
  <si>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</si>
  <si>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</si>
  <si>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</si>
  <si>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</si>
  <si>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</si>
  <si>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</si>
  <si>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</si>
  <si>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</si>
  <si>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</si>
  <si>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</si>
  <si>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</si>
  <si>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</si>
  <si>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</si>
  <si>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</si>
  <si>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</si>
  <si>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</si>
  <si>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</si>
  <si>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</si>
  <si>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</si>
  <si>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</si>
  <si>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</si>
  <si>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</si>
  <si>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</si>
  <si>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</si>
  <si>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</si>
  <si>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</si>
  <si>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</si>
  <si>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</si>
  <si>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</si>
  <si>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</si>
  <si>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</si>
  <si>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</si>
  <si>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</si>
  <si>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</si>
  <si>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</si>
  <si>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</si>
  <si>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</si>
  <si>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</si>
  <si>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</si>
  <si>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</si>
  <si>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</si>
  <si>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</si>
  <si>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</si>
  <si>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</si>
  <si>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</si>
  <si>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</si>
  <si>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</si>
  <si>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</si>
  <si>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</si>
  <si>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</si>
  <si>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</si>
  <si>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</si>
  <si>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</si>
  <si>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</si>
  <si>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</si>
  <si>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</si>
  <si>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</si>
  <si>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</si>
  <si>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</si>
  <si>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</si>
  <si>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</si>
  <si>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</si>
  <si>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</si>
  <si>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</si>
  <si>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</si>
  <si>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</si>
  <si>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</si>
  <si>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</si>
  <si>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</si>
  <si>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</si>
  <si>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</si>
  <si>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</si>
  <si>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</si>
  <si>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</si>
  <si>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</si>
  <si>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</si>
  <si>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</si>
  <si>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</si>
  <si>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</si>
  <si>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</si>
  <si>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</si>
  <si>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</si>
  <si>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</si>
  <si>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</si>
  <si>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</si>
  <si>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</si>
  <si>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</si>
  <si>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</si>
  <si>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</si>
  <si>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</si>
  <si>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</si>
  <si>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</si>
  <si>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</si>
  <si>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</si>
  <si>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</si>
  <si>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</si>
  <si>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</si>
  <si>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</si>
  <si>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</si>
  <si>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</si>
  <si>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</si>
  <si>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</si>
  <si>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</si>
  <si>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</si>
  <si>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</si>
  <si>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</si>
  <si>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</si>
  <si>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</si>
  <si>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</si>
  <si>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</si>
  <si>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</si>
  <si>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</si>
  <si>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</si>
  <si>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</si>
  <si>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</si>
  <si>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</si>
  <si>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</si>
  <si>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</si>
  <si>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</si>
  <si>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</si>
  <si>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</si>
  <si>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</si>
  <si>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</si>
  <si>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</si>
  <si>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</si>
  <si>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</si>
  <si>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</si>
  <si>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</si>
  <si>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</si>
  <si>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</si>
  <si>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</si>
  <si>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</si>
  <si>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</si>
  <si>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</si>
  <si>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</si>
  <si>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</si>
  <si>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</si>
  <si>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</si>
  <si>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</si>
  <si>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</si>
  <si>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</si>
  <si>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</si>
  <si>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</si>
  <si>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</si>
  <si>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</si>
  <si>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</si>
  <si>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</si>
  <si>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</si>
  <si>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</si>
  <si>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</si>
  <si>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</si>
  <si>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</si>
  <si>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</si>
  <si>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</si>
  <si>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</si>
  <si>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</si>
  <si>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</si>
  <si>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</si>
  <si>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</si>
  <si>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</si>
  <si>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</si>
  <si>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</si>
  <si>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</si>
  <si>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</si>
  <si>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</si>
  <si>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</si>
  <si>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</si>
  <si>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</si>
  <si>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</si>
  <si>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</si>
  <si>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</si>
  <si>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</si>
  <si>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</si>
  <si>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</si>
  <si>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</si>
  <si>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</si>
  <si>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</si>
  <si>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</si>
  <si>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</si>
  <si>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</si>
  <si>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</si>
  <si>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</si>
  <si>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</si>
  <si>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</si>
  <si>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</si>
  <si>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</si>
  <si>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</si>
  <si>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</si>
  <si>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</si>
  <si>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</si>
  <si>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</si>
  <si>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</si>
  <si>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</si>
  <si>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</si>
  <si>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</si>
  <si>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</si>
  <si>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</si>
  <si>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</si>
  <si>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</si>
  <si>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</si>
  <si>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</si>
  <si>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</si>
  <si>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</si>
  <si>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</si>
  <si>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</si>
  <si>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</si>
  <si>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</si>
  <si>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</si>
  <si>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</si>
  <si>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</si>
  <si>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</si>
  <si>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</si>
  <si>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</si>
  <si>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</si>
  <si>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</si>
  <si>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</si>
  <si>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</si>
  <si>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</si>
  <si>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</si>
  <si>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</si>
  <si>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</si>
  <si>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</si>
  <si>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</si>
  <si>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</si>
  <si>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</si>
  <si>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</si>
  <si>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</si>
  <si>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</si>
  <si>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</si>
  <si>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</si>
  <si>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</si>
  <si>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</si>
  <si>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</si>
  <si>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</si>
  <si>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</si>
  <si>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</si>
  <si>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</si>
  <si>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</si>
  <si>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</si>
  <si>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</si>
  <si>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</si>
  <si>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</si>
  <si>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</si>
  <si>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</si>
  <si>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</si>
  <si>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</si>
  <si>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</si>
  <si>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</si>
  <si>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</si>
  <si>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</si>
  <si>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</si>
  <si>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</si>
  <si>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</si>
  <si>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</si>
  <si>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</si>
  <si>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</si>
  <si>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</si>
  <si>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</si>
  <si>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</si>
  <si>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</si>
  <si>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</si>
  <si>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</si>
  <si>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</si>
  <si>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</si>
  <si>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</si>
  <si>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</si>
  <si>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</si>
  <si>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</si>
  <si>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</si>
  <si>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</si>
  <si>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</si>
  <si>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</si>
  <si>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</si>
  <si>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</si>
  <si>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</si>
  <si>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</si>
  <si>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</si>
  <si>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</si>
  <si>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</si>
  <si>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</si>
  <si>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</si>
  <si>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</si>
  <si>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</si>
  <si>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</si>
  <si>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</si>
  <si>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</si>
  <si>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</si>
  <si>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</si>
  <si>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</si>
  <si>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</si>
  <si>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</si>
  <si>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</si>
  <si>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</si>
  <si>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</si>
  <si>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</si>
  <si>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</si>
  <si>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</si>
  <si>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</si>
  <si>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</si>
  <si>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</si>
  <si>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</si>
  <si>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</si>
  <si>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</si>
  <si>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</si>
  <si>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</si>
  <si>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</si>
  <si>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</si>
  <si>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</si>
  <si>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</si>
  <si>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</si>
  <si>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</si>
  <si>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</si>
  <si>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</si>
  <si>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</si>
  <si>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</si>
  <si>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</si>
  <si>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</si>
  <si>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</si>
  <si>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</si>
  <si>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</si>
  <si>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</si>
  <si>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</si>
  <si>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</si>
  <si>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</si>
  <si>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</si>
  <si>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</si>
  <si>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</si>
  <si>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</si>
  <si>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</si>
  <si>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</si>
  <si>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</si>
  <si>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</si>
  <si>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</si>
  <si>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</si>
  <si>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</si>
  <si>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</si>
  <si>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</si>
  <si>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</si>
  <si>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</si>
  <si>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</si>
  <si>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</si>
  <si>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</si>
  <si>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</si>
  <si>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</si>
  <si>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</si>
  <si>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</si>
  <si>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</si>
  <si>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</si>
  <si>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</si>
  <si>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</si>
  <si>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</si>
  <si>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</si>
  <si>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</si>
  <si>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</si>
  <si>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</si>
  <si>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</si>
  <si>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</si>
  <si>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</si>
  <si>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</si>
  <si>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</si>
  <si>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</si>
  <si>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</si>
  <si>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</si>
  <si>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</si>
  <si>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</si>
  <si>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</si>
  <si>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</si>
  <si>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</si>
  <si>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</si>
  <si>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</si>
  <si>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</si>
  <si>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</si>
  <si>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</si>
  <si>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</si>
  <si>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</si>
  <si>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</si>
  <si>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</si>
  <si>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</si>
  <si>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</si>
  <si>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</si>
  <si>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</si>
  <si>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</si>
  <si>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</si>
  <si>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</si>
  <si>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</si>
  <si>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</si>
  <si>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</si>
  <si>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</si>
  <si>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</si>
  <si>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</si>
  <si>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</si>
  <si>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</si>
  <si>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</si>
  <si>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</si>
  <si>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</si>
  <si>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</si>
  <si>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</si>
  <si>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</si>
  <si>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</si>
  <si>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</si>
  <si>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</si>
  <si>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</si>
  <si>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</si>
  <si>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</si>
  <si>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</si>
  <si>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</si>
  <si>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</si>
  <si>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</si>
  <si>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</si>
  <si>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</si>
  <si>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</si>
  <si>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</si>
  <si>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</si>
  <si>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</si>
  <si>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</si>
  <si>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</si>
  <si>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</si>
  <si>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</si>
  <si>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</si>
  <si>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</si>
  <si>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</si>
  <si>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</si>
  <si>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</si>
  <si>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</si>
  <si>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</si>
  <si>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</si>
  <si>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</si>
  <si>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</si>
  <si>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</si>
  <si>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</si>
  <si>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</si>
  <si>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</si>
  <si>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</si>
  <si>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</si>
  <si>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</si>
  <si>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</si>
  <si>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</si>
  <si>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</si>
  <si>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</si>
  <si>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</si>
  <si>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</si>
  <si>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</si>
  <si>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</si>
  <si>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</si>
  <si>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</si>
  <si>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</si>
  <si>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</si>
  <si>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</si>
  <si>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</si>
  <si>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</si>
  <si>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</si>
  <si>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</si>
  <si>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</si>
  <si>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</si>
  <si>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</si>
  <si>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</si>
  <si>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</si>
  <si>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</si>
  <si>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</si>
  <si>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</si>
  <si>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</si>
  <si>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</si>
  <si>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</si>
  <si>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</si>
  <si>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</si>
  <si>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</si>
  <si>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</si>
  <si>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</si>
  <si>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</si>
  <si>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</si>
  <si>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</si>
  <si>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</si>
  <si>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</si>
  <si>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</si>
  <si>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</si>
  <si>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</si>
  <si>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</si>
  <si>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</si>
  <si>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</si>
  <si>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</si>
  <si>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</si>
  <si>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</si>
  <si>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</si>
  <si>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</si>
  <si>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</si>
  <si>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</si>
  <si>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</si>
  <si>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</si>
  <si>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</si>
  <si>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</si>
  <si>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</si>
  <si>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</si>
  <si>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</si>
  <si>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</si>
  <si>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</si>
  <si>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</si>
  <si>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</si>
  <si>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</si>
  <si>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</si>
  <si>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</si>
  <si>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</si>
  <si>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</si>
  <si>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</si>
  <si>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</si>
  <si>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</si>
  <si>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</si>
  <si>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</si>
  <si>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</si>
  <si>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</si>
  <si>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</si>
  <si>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</si>
  <si>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</si>
  <si>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</si>
  <si>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</si>
  <si>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</si>
  <si>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</si>
  <si>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</si>
  <si>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</si>
  <si>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</si>
  <si>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</si>
  <si>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</si>
  <si>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</si>
  <si>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</si>
  <si>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</si>
  <si>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</si>
  <si>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</si>
  <si>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</si>
  <si>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</si>
  <si>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</si>
  <si>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</si>
  <si>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</si>
  <si>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</si>
  <si>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</si>
  <si>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</si>
  <si>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</si>
  <si>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</si>
  <si>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</si>
  <si>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</si>
  <si>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</si>
  <si>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</si>
  <si>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</si>
  <si>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</si>
  <si>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</si>
  <si>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</si>
  <si>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</si>
  <si>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</si>
  <si>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</si>
  <si>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</si>
  <si>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</si>
  <si>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</si>
  <si>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</si>
  <si>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</si>
  <si>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</si>
  <si>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</si>
  <si>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</si>
  <si>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</si>
  <si>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</si>
  <si>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</si>
  <si>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</si>
  <si>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</si>
  <si>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</si>
  <si>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</si>
  <si>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</si>
  <si>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</si>
  <si>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</si>
  <si>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</si>
  <si>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</si>
  <si>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</si>
  <si>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</si>
  <si>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</si>
  <si>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</si>
  <si>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</si>
  <si>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</si>
  <si>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</si>
  <si>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</si>
  <si>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</si>
  <si>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</si>
  <si>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</si>
  <si>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</si>
  <si>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</si>
  <si>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</si>
  <si>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</si>
  <si>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</si>
  <si>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</si>
  <si>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</si>
  <si>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</si>
  <si>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</si>
  <si>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</si>
  <si>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</si>
  <si>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</si>
  <si>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</si>
  <si>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</si>
  <si>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</si>
  <si>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</si>
  <si>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</si>
  <si>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</si>
  <si>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</si>
  <si>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</si>
  <si>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</si>
  <si>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</si>
  <si>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</si>
  <si>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</si>
  <si>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</si>
  <si>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</si>
  <si>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</si>
  <si>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</si>
  <si>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</si>
  <si>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</si>
  <si>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</si>
  <si>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</si>
  <si>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</si>
  <si>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</si>
  <si>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</si>
  <si>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</si>
  <si>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</si>
  <si>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</si>
  <si>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</si>
  <si>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</si>
  <si>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</si>
  <si>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</si>
  <si>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</si>
  <si>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</si>
  <si>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</si>
  <si>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</si>
  <si>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</si>
  <si>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</si>
  <si>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</si>
  <si>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</si>
  <si>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</si>
  <si>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</si>
  <si>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</si>
  <si>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</si>
  <si>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</si>
  <si>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</si>
  <si>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</si>
  <si>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</si>
  <si>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</si>
  <si>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</si>
  <si>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</si>
  <si>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</si>
  <si>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</si>
  <si>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</si>
  <si>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</si>
  <si>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</si>
  <si>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</si>
  <si>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</si>
  <si>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</si>
  <si>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</si>
  <si>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</si>
  <si>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</si>
  <si>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</si>
  <si>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</si>
  <si>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</si>
  <si>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</si>
  <si>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</si>
  <si>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</si>
  <si>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</si>
  <si>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</si>
  <si>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</si>
  <si>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</si>
  <si>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</si>
  <si>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</si>
  <si>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</si>
  <si>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</si>
  <si>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</si>
  <si>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</si>
  <si>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</si>
  <si>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</si>
  <si>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</si>
  <si>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</si>
  <si>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</si>
  <si>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</si>
  <si>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</si>
  <si>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</si>
  <si>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</si>
  <si>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</si>
  <si>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</si>
  <si>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</si>
  <si>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</si>
  <si>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</si>
  <si>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</si>
  <si>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</si>
  <si>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</si>
  <si>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</si>
  <si>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</si>
  <si>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</si>
  <si>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</si>
  <si>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</si>
  <si>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</si>
  <si>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</si>
  <si>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</si>
  <si>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</si>
  <si>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</si>
  <si>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</si>
  <si>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</si>
  <si>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</si>
  <si>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</si>
  <si>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</si>
  <si>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</si>
  <si>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</si>
  <si>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</si>
  <si>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</si>
  <si>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</si>
  <si>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</si>
  <si>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</si>
  <si>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</si>
  <si>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</si>
  <si>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</si>
  <si>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</si>
  <si>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</si>
  <si>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</si>
  <si>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</si>
  <si>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</si>
  <si>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</si>
  <si>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</si>
  <si>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</si>
  <si>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</si>
  <si>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</si>
  <si>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</si>
  <si>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</si>
  <si>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</si>
  <si>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</si>
  <si>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</si>
  <si>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</si>
  <si>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</si>
  <si>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</si>
  <si>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</si>
  <si>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</si>
  <si>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</si>
  <si>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</si>
  <si>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</si>
  <si>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</si>
  <si>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</si>
  <si>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</si>
  <si>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</si>
  <si>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</si>
  <si>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</si>
  <si>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</si>
  <si>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</si>
  <si>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</si>
  <si>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</si>
  <si>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</si>
  <si>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</si>
  <si>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</si>
  <si>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</si>
  <si>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</si>
  <si>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</si>
  <si>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</si>
  <si>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</si>
  <si>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</si>
  <si>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</si>
  <si>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</si>
  <si>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</si>
  <si>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</si>
  <si>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</si>
  <si>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</si>
  <si>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</si>
  <si>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</si>
  <si>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23088</t>
  </si>
  <si>
    <t>VILVOORDE</t>
  </si>
  <si>
    <t>Eandis (januari 2018); Infrax (juni 2018)</t>
  </si>
  <si>
    <t>MOW (september 2017)</t>
  </si>
  <si>
    <t>referentietaak LNE (2017); Jaarverslag De Lijn (2016)</t>
  </si>
  <si>
    <t>VEA (april 2018)</t>
  </si>
  <si>
    <t>VEA (januari 2017)</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</si>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</sst>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252936.58930627207</c:v>
                </c:pt>
                <c:pt idx="1">
                  <c:v>220928.47191916476</c:v>
                </c:pt>
                <c:pt idx="2">
                  <c:v>2591.7573489597698</c:v>
                </c:pt>
                <c:pt idx="3">
                  <c:v>190.47945563885614</c:v>
                </c:pt>
                <c:pt idx="4">
                  <c:v>79524.65565508054</c:v>
                </c:pt>
                <c:pt idx="5">
                  <c:v>383448.28964468156</c:v>
                </c:pt>
                <c:pt idx="6">
                  <c:v>4684.6338748477683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252936.58930627207</c:v>
                </c:pt>
                <c:pt idx="1">
                  <c:v>220928.47191916476</c:v>
                </c:pt>
                <c:pt idx="2">
                  <c:v>2591.7573489597698</c:v>
                </c:pt>
                <c:pt idx="3">
                  <c:v>190.47945563885614</c:v>
                </c:pt>
                <c:pt idx="4">
                  <c:v>79524.65565508054</c:v>
                </c:pt>
                <c:pt idx="5">
                  <c:v>383448.28964468156</c:v>
                </c:pt>
                <c:pt idx="6">
                  <c:v>4684.6338748477683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49847.749394464678</c:v>
                </c:pt>
                <c:pt idx="2">
                  <c:v>45830.946813601549</c:v>
                </c:pt>
                <c:pt idx="3">
                  <c:v>556.5526097396305</c:v>
                </c:pt>
                <c:pt idx="4">
                  <c:v>48.843414415106778</c:v>
                </c:pt>
                <c:pt idx="5">
                  <c:v>15544.025227105152</c:v>
                </c:pt>
                <c:pt idx="6">
                  <c:v>96010.952137725806</c:v>
                </c:pt>
                <c:pt idx="7">
                  <c:v>1183.5753875551754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49847.749394464678</c:v>
                </c:pt>
                <c:pt idx="2">
                  <c:v>45830.946813601549</c:v>
                </c:pt>
                <c:pt idx="3">
                  <c:v>556.5526097396305</c:v>
                </c:pt>
                <c:pt idx="4">
                  <c:v>48.843414415106778</c:v>
                </c:pt>
                <c:pt idx="5">
                  <c:v>15544.025227105152</c:v>
                </c:pt>
                <c:pt idx="6">
                  <c:v>96010.952137725806</c:v>
                </c:pt>
                <c:pt idx="7">
                  <c:v>1183.5753875551754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23088</v>
      </c>
      <c r="B6" s="415"/>
      <c r="C6" s="416"/>
    </row>
    <row r="7" spans="1:7" s="413" customFormat="1" ht="15.75" customHeight="1">
      <c r="A7" s="417" t="str">
        <f>txtMunicipality</f>
        <v>VILVOORDE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89390.215142414876</v>
      </c>
      <c r="D10" s="1013">
        <f ca="1">tertiair!C16</f>
        <v>1928.5714285714287</v>
      </c>
      <c r="E10" s="1013">
        <f ca="1">tertiair!D16</f>
        <v>112451.52013369462</v>
      </c>
      <c r="F10" s="1013">
        <f>tertiair!E16</f>
        <v>1005.4585649941266</v>
      </c>
      <c r="G10" s="1013">
        <f ca="1">tertiair!F16</f>
        <v>14195.085058499168</v>
      </c>
      <c r="H10" s="1013">
        <f>tertiair!G16</f>
        <v>0</v>
      </c>
      <c r="I10" s="1013">
        <f>tertiair!H16</f>
        <v>0</v>
      </c>
      <c r="J10" s="1013">
        <f>tertiair!I16</f>
        <v>0</v>
      </c>
      <c r="K10" s="1013">
        <f>tertiair!J16</f>
        <v>0.10860777339696492</v>
      </c>
      <c r="L10" s="1013">
        <f>tertiair!K16</f>
        <v>0</v>
      </c>
      <c r="M10" s="1013">
        <f ca="1">tertiair!L16</f>
        <v>0</v>
      </c>
      <c r="N10" s="1013">
        <f>tertiair!M16</f>
        <v>0</v>
      </c>
      <c r="O10" s="1013">
        <f ca="1">tertiair!N16</f>
        <v>4453.9369988435519</v>
      </c>
      <c r="P10" s="1013">
        <f>tertiair!O16</f>
        <v>0</v>
      </c>
      <c r="Q10" s="1014">
        <f>tertiair!P16</f>
        <v>95.333333333333343</v>
      </c>
      <c r="R10" s="700">
        <f ca="1">SUM(C10:Q10)</f>
        <v>223520.22926812453</v>
      </c>
      <c r="S10" s="67"/>
    </row>
    <row r="11" spans="1:19" s="473" customFormat="1">
      <c r="A11" s="809" t="s">
        <v>225</v>
      </c>
      <c r="B11" s="814"/>
      <c r="C11" s="1013">
        <f>huishoudens!B8</f>
        <v>53812.982597452276</v>
      </c>
      <c r="D11" s="1013">
        <f>huishoudens!C8</f>
        <v>0</v>
      </c>
      <c r="E11" s="1013">
        <f>huishoudens!D8</f>
        <v>187248.81015619042</v>
      </c>
      <c r="F11" s="1013">
        <f>huishoudens!E8</f>
        <v>2060.4324576380368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9419.5440949913555</v>
      </c>
      <c r="P11" s="1013">
        <f>huishoudens!O8</f>
        <v>146.95333333333335</v>
      </c>
      <c r="Q11" s="1014">
        <f>huishoudens!P8</f>
        <v>247.86666666666667</v>
      </c>
      <c r="R11" s="700">
        <f>SUM(C11:Q11)</f>
        <v>252936.58930627207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42798.312884763596</v>
      </c>
      <c r="D13" s="1013">
        <f>industrie!C18</f>
        <v>0</v>
      </c>
      <c r="E13" s="1013">
        <f>industrie!D18</f>
        <v>14518.440556147129</v>
      </c>
      <c r="F13" s="1013">
        <f>industrie!E18</f>
        <v>3076.3789518014455</v>
      </c>
      <c r="G13" s="1013">
        <f>industrie!F18</f>
        <v>10043.464259211531</v>
      </c>
      <c r="H13" s="1013">
        <f>industrie!G18</f>
        <v>0</v>
      </c>
      <c r="I13" s="1013">
        <f>industrie!H18</f>
        <v>0</v>
      </c>
      <c r="J13" s="1013">
        <f>industrie!I18</f>
        <v>0</v>
      </c>
      <c r="K13" s="1013">
        <f>industrie!J18</f>
        <v>115.45214795693771</v>
      </c>
      <c r="L13" s="1013">
        <f>industrie!K18</f>
        <v>0</v>
      </c>
      <c r="M13" s="1013">
        <f>industrie!L18</f>
        <v>0</v>
      </c>
      <c r="N13" s="1013">
        <f>industrie!M18</f>
        <v>0</v>
      </c>
      <c r="O13" s="1013">
        <f>industrie!N18</f>
        <v>8972.6068551999015</v>
      </c>
      <c r="P13" s="1013">
        <f>industrie!O18</f>
        <v>0</v>
      </c>
      <c r="Q13" s="1014">
        <f>industrie!P18</f>
        <v>0</v>
      </c>
      <c r="R13" s="700">
        <f>SUM(C13:Q13)</f>
        <v>79524.65565508054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186001.51062463073</v>
      </c>
      <c r="D16" s="732">
        <f t="shared" ref="D16:R16" ca="1" si="0">SUM(D9:D15)</f>
        <v>1928.5714285714287</v>
      </c>
      <c r="E16" s="732">
        <f t="shared" ca="1" si="0"/>
        <v>314218.77084603219</v>
      </c>
      <c r="F16" s="732">
        <f t="shared" si="0"/>
        <v>6142.2699744336087</v>
      </c>
      <c r="G16" s="732">
        <f t="shared" ca="1" si="0"/>
        <v>24238.549317710698</v>
      </c>
      <c r="H16" s="732">
        <f t="shared" si="0"/>
        <v>0</v>
      </c>
      <c r="I16" s="732">
        <f t="shared" si="0"/>
        <v>0</v>
      </c>
      <c r="J16" s="732">
        <f t="shared" si="0"/>
        <v>0</v>
      </c>
      <c r="K16" s="732">
        <f t="shared" si="0"/>
        <v>115.56075573033468</v>
      </c>
      <c r="L16" s="732">
        <f t="shared" si="0"/>
        <v>0</v>
      </c>
      <c r="M16" s="732">
        <f t="shared" ca="1" si="0"/>
        <v>0</v>
      </c>
      <c r="N16" s="732">
        <f t="shared" si="0"/>
        <v>0</v>
      </c>
      <c r="O16" s="732">
        <f t="shared" ca="1" si="0"/>
        <v>22846.087949034809</v>
      </c>
      <c r="P16" s="732">
        <f t="shared" si="0"/>
        <v>146.95333333333335</v>
      </c>
      <c r="Q16" s="732">
        <f t="shared" si="0"/>
        <v>343.20000000000005</v>
      </c>
      <c r="R16" s="732">
        <f t="shared" ca="1" si="0"/>
        <v>555981.47422947711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4432.8666200568368</v>
      </c>
      <c r="I19" s="1013">
        <f>transport!H54</f>
        <v>0</v>
      </c>
      <c r="J19" s="1013">
        <f>transport!I54</f>
        <v>0</v>
      </c>
      <c r="K19" s="1013">
        <f>transport!J54</f>
        <v>0</v>
      </c>
      <c r="L19" s="1013">
        <f>transport!K54</f>
        <v>0</v>
      </c>
      <c r="M19" s="1013">
        <f>transport!L54</f>
        <v>0</v>
      </c>
      <c r="N19" s="1013">
        <f>transport!M54</f>
        <v>251.76725479093147</v>
      </c>
      <c r="O19" s="1013">
        <f>transport!N54</f>
        <v>0</v>
      </c>
      <c r="P19" s="1013">
        <f>transport!O54</f>
        <v>0</v>
      </c>
      <c r="Q19" s="1014">
        <f>transport!P54</f>
        <v>0</v>
      </c>
      <c r="R19" s="700">
        <f>SUM(C19:Q19)</f>
        <v>4684.6338748477683</v>
      </c>
      <c r="S19" s="67"/>
    </row>
    <row r="20" spans="1:19" s="473" customFormat="1">
      <c r="A20" s="809" t="s">
        <v>307</v>
      </c>
      <c r="B20" s="814"/>
      <c r="C20" s="1013">
        <f>transport!B14</f>
        <v>163.05877786033741</v>
      </c>
      <c r="D20" s="1013">
        <f>transport!C14</f>
        <v>0</v>
      </c>
      <c r="E20" s="1013">
        <f>transport!D14</f>
        <v>532.74898650892908</v>
      </c>
      <c r="F20" s="1013">
        <f>transport!E14</f>
        <v>837.25181563488081</v>
      </c>
      <c r="G20" s="1013">
        <f>transport!F14</f>
        <v>0</v>
      </c>
      <c r="H20" s="1013">
        <f>transport!G14</f>
        <v>300469.95393847342</v>
      </c>
      <c r="I20" s="1013">
        <f>transport!H14</f>
        <v>62059.388845573019</v>
      </c>
      <c r="J20" s="1013">
        <f>transport!I14</f>
        <v>0</v>
      </c>
      <c r="K20" s="1013">
        <f>transport!J14</f>
        <v>0</v>
      </c>
      <c r="L20" s="1013">
        <f>transport!K14</f>
        <v>0</v>
      </c>
      <c r="M20" s="1013">
        <f>transport!L14</f>
        <v>0</v>
      </c>
      <c r="N20" s="1013">
        <f>transport!M14</f>
        <v>19385.88728063101</v>
      </c>
      <c r="O20" s="1013">
        <f>transport!N14</f>
        <v>0</v>
      </c>
      <c r="P20" s="1013">
        <f>transport!O14</f>
        <v>0</v>
      </c>
      <c r="Q20" s="1014">
        <f>transport!P14</f>
        <v>0</v>
      </c>
      <c r="R20" s="700">
        <f>SUM(C20:Q20)</f>
        <v>383448.28964468156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163.05877786033741</v>
      </c>
      <c r="D22" s="812">
        <f t="shared" ref="D22:R22" si="1">SUM(D18:D21)</f>
        <v>0</v>
      </c>
      <c r="E22" s="812">
        <f t="shared" si="1"/>
        <v>532.74898650892908</v>
      </c>
      <c r="F22" s="812">
        <f t="shared" si="1"/>
        <v>837.25181563488081</v>
      </c>
      <c r="G22" s="812">
        <f t="shared" si="1"/>
        <v>0</v>
      </c>
      <c r="H22" s="812">
        <f t="shared" si="1"/>
        <v>304902.82055853028</v>
      </c>
      <c r="I22" s="812">
        <f t="shared" si="1"/>
        <v>62059.388845573019</v>
      </c>
      <c r="J22" s="812">
        <f t="shared" si="1"/>
        <v>0</v>
      </c>
      <c r="K22" s="812">
        <f t="shared" si="1"/>
        <v>0</v>
      </c>
      <c r="L22" s="812">
        <f t="shared" si="1"/>
        <v>0</v>
      </c>
      <c r="M22" s="812">
        <f t="shared" si="1"/>
        <v>0</v>
      </c>
      <c r="N22" s="812">
        <f t="shared" si="1"/>
        <v>19637.654535421942</v>
      </c>
      <c r="O22" s="812">
        <f t="shared" si="1"/>
        <v>0</v>
      </c>
      <c r="P22" s="812">
        <f t="shared" si="1"/>
        <v>0</v>
      </c>
      <c r="Q22" s="812">
        <f t="shared" si="1"/>
        <v>0</v>
      </c>
      <c r="R22" s="812">
        <f t="shared" si="1"/>
        <v>388132.92351952934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30.853643813285899</v>
      </c>
      <c r="D24" s="1013">
        <f>+landbouw!C8</f>
        <v>25.714285714285715</v>
      </c>
      <c r="E24" s="1013">
        <f>+landbouw!D8</f>
        <v>0</v>
      </c>
      <c r="F24" s="1013">
        <f>+landbouw!E8</f>
        <v>0.90688282957775868</v>
      </c>
      <c r="G24" s="1013">
        <f>+landbouw!F8</f>
        <v>128.53461288274713</v>
      </c>
      <c r="H24" s="1013">
        <f>+landbouw!G8</f>
        <v>0</v>
      </c>
      <c r="I24" s="1013">
        <f>+landbouw!H8</f>
        <v>0</v>
      </c>
      <c r="J24" s="1013">
        <f>+landbouw!I8</f>
        <v>0</v>
      </c>
      <c r="K24" s="1013">
        <f>+landbouw!J8</f>
        <v>4.4700303989596479</v>
      </c>
      <c r="L24" s="1013">
        <f>+landbouw!K8</f>
        <v>0</v>
      </c>
      <c r="M24" s="1013">
        <f>+landbouw!L8</f>
        <v>0</v>
      </c>
      <c r="N24" s="1013">
        <f>+landbouw!M8</f>
        <v>0</v>
      </c>
      <c r="O24" s="1013">
        <f>+landbouw!N8</f>
        <v>0</v>
      </c>
      <c r="P24" s="1013">
        <f>+landbouw!O8</f>
        <v>0</v>
      </c>
      <c r="Q24" s="1014">
        <f>+landbouw!P8</f>
        <v>0</v>
      </c>
      <c r="R24" s="700">
        <f>SUM(C24:Q24)</f>
        <v>190.47945563885614</v>
      </c>
      <c r="S24" s="67"/>
    </row>
    <row r="25" spans="1:19" s="473" customFormat="1" ht="15" thickBot="1">
      <c r="A25" s="831" t="s">
        <v>836</v>
      </c>
      <c r="B25" s="1016"/>
      <c r="C25" s="1017">
        <f>IF(Onbekend_ele_kWh="---",0,Onbekend_ele_kWh)/1000+IF(REST_rest_ele_kWh="---",0,REST_rest_ele_kWh)/1000</f>
        <v>5794.2168968790902</v>
      </c>
      <c r="D25" s="1017"/>
      <c r="E25" s="1017">
        <f>IF(onbekend_gas_kWh="---",0,onbekend_gas_kWh)/1000+IF(REST_rest_gas_kWh="---",0,REST_rest_gas_kWh)/1000</f>
        <v>12842.4739026017</v>
      </c>
      <c r="F25" s="1017"/>
      <c r="G25" s="1017"/>
      <c r="H25" s="1017"/>
      <c r="I25" s="1017"/>
      <c r="J25" s="1017"/>
      <c r="K25" s="1017"/>
      <c r="L25" s="1017"/>
      <c r="M25" s="1017"/>
      <c r="N25" s="1017"/>
      <c r="O25" s="1017"/>
      <c r="P25" s="1017"/>
      <c r="Q25" s="1018"/>
      <c r="R25" s="700">
        <f>SUM(C25:Q25)</f>
        <v>18636.690799480792</v>
      </c>
      <c r="S25" s="67"/>
    </row>
    <row r="26" spans="1:19" s="473" customFormat="1" ht="15.75" thickBot="1">
      <c r="A26" s="705" t="s">
        <v>837</v>
      </c>
      <c r="B26" s="817"/>
      <c r="C26" s="812">
        <f>SUM(C24:C25)</f>
        <v>5825.0705406923762</v>
      </c>
      <c r="D26" s="812">
        <f t="shared" ref="D26:R26" si="2">SUM(D24:D25)</f>
        <v>25.714285714285715</v>
      </c>
      <c r="E26" s="812">
        <f t="shared" si="2"/>
        <v>12842.4739026017</v>
      </c>
      <c r="F26" s="812">
        <f t="shared" si="2"/>
        <v>0.90688282957775868</v>
      </c>
      <c r="G26" s="812">
        <f t="shared" si="2"/>
        <v>128.53461288274713</v>
      </c>
      <c r="H26" s="812">
        <f t="shared" si="2"/>
        <v>0</v>
      </c>
      <c r="I26" s="812">
        <f t="shared" si="2"/>
        <v>0</v>
      </c>
      <c r="J26" s="812">
        <f t="shared" si="2"/>
        <v>0</v>
      </c>
      <c r="K26" s="812">
        <f t="shared" si="2"/>
        <v>4.4700303989596479</v>
      </c>
      <c r="L26" s="812">
        <f t="shared" si="2"/>
        <v>0</v>
      </c>
      <c r="M26" s="812">
        <f t="shared" si="2"/>
        <v>0</v>
      </c>
      <c r="N26" s="812">
        <f t="shared" si="2"/>
        <v>0</v>
      </c>
      <c r="O26" s="812">
        <f t="shared" si="2"/>
        <v>0</v>
      </c>
      <c r="P26" s="812">
        <f t="shared" si="2"/>
        <v>0</v>
      </c>
      <c r="Q26" s="812">
        <f t="shared" si="2"/>
        <v>0</v>
      </c>
      <c r="R26" s="812">
        <f t="shared" si="2"/>
        <v>18827.170255119647</v>
      </c>
      <c r="S26" s="67"/>
    </row>
    <row r="27" spans="1:19" s="473" customFormat="1" ht="17.25" thickTop="1" thickBot="1">
      <c r="A27" s="706" t="s">
        <v>116</v>
      </c>
      <c r="B27" s="805"/>
      <c r="C27" s="707">
        <f ca="1">C22+C16+C26</f>
        <v>191989.63994318343</v>
      </c>
      <c r="D27" s="707">
        <f t="shared" ref="D27:R27" ca="1" si="3">D22+D16+D26</f>
        <v>1954.2857142857144</v>
      </c>
      <c r="E27" s="707">
        <f t="shared" ca="1" si="3"/>
        <v>327593.99373514281</v>
      </c>
      <c r="F27" s="707">
        <f t="shared" si="3"/>
        <v>6980.4286728980669</v>
      </c>
      <c r="G27" s="707">
        <f t="shared" ca="1" si="3"/>
        <v>24367.083930593446</v>
      </c>
      <c r="H27" s="707">
        <f t="shared" si="3"/>
        <v>304902.82055853028</v>
      </c>
      <c r="I27" s="707">
        <f t="shared" si="3"/>
        <v>62059.388845573019</v>
      </c>
      <c r="J27" s="707">
        <f t="shared" si="3"/>
        <v>0</v>
      </c>
      <c r="K27" s="707">
        <f t="shared" si="3"/>
        <v>120.03078612929433</v>
      </c>
      <c r="L27" s="707">
        <f t="shared" si="3"/>
        <v>0</v>
      </c>
      <c r="M27" s="707">
        <f t="shared" ca="1" si="3"/>
        <v>0</v>
      </c>
      <c r="N27" s="707">
        <f t="shared" si="3"/>
        <v>19637.654535421942</v>
      </c>
      <c r="O27" s="707">
        <f t="shared" ca="1" si="3"/>
        <v>22846.087949034809</v>
      </c>
      <c r="P27" s="707">
        <f t="shared" si="3"/>
        <v>146.95333333333335</v>
      </c>
      <c r="Q27" s="707">
        <f t="shared" si="3"/>
        <v>343.20000000000005</v>
      </c>
      <c r="R27" s="707">
        <f t="shared" ca="1" si="3"/>
        <v>962941.56800412619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19195.60777657904</v>
      </c>
      <c r="D40" s="1013">
        <f ca="1">tertiair!C20</f>
        <v>458.31932773109253</v>
      </c>
      <c r="E40" s="1013">
        <f ca="1">tertiair!D20</f>
        <v>22715.207067006315</v>
      </c>
      <c r="F40" s="1013">
        <f>tertiair!E20</f>
        <v>228.23909425366676</v>
      </c>
      <c r="G40" s="1013">
        <f ca="1">tertiair!F20</f>
        <v>3790.0877106192779</v>
      </c>
      <c r="H40" s="1013">
        <f>tertiair!G20</f>
        <v>0</v>
      </c>
      <c r="I40" s="1013">
        <f>tertiair!H20</f>
        <v>0</v>
      </c>
      <c r="J40" s="1013">
        <f>tertiair!I20</f>
        <v>0</v>
      </c>
      <c r="K40" s="1013">
        <f>tertiair!J20</f>
        <v>3.8447151782525578E-2</v>
      </c>
      <c r="L40" s="1013">
        <f>tertiair!K20</f>
        <v>0</v>
      </c>
      <c r="M40" s="1013">
        <f ca="1">tertiair!L20</f>
        <v>0</v>
      </c>
      <c r="N40" s="1013">
        <f>tertiair!M20</f>
        <v>0</v>
      </c>
      <c r="O40" s="1013">
        <f ca="1">tertiair!N20</f>
        <v>0</v>
      </c>
      <c r="P40" s="1013">
        <f>tertiair!O20</f>
        <v>0</v>
      </c>
      <c r="Q40" s="774">
        <f>tertiair!P20</f>
        <v>0</v>
      </c>
      <c r="R40" s="850">
        <f t="shared" ca="1" si="4"/>
        <v>46387.499423341171</v>
      </c>
    </row>
    <row r="41" spans="1:18">
      <c r="A41" s="822" t="s">
        <v>225</v>
      </c>
      <c r="B41" s="829"/>
      <c r="C41" s="1013">
        <f ca="1">huishoudens!B12</f>
        <v>11555.771575030372</v>
      </c>
      <c r="D41" s="1013">
        <f ca="1">huishoudens!C12</f>
        <v>0</v>
      </c>
      <c r="E41" s="1013">
        <f>huishoudens!D12</f>
        <v>37824.25965155047</v>
      </c>
      <c r="F41" s="1013">
        <f>huishoudens!E12</f>
        <v>467.71816788383438</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49847.749394464678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9190.4871951182686</v>
      </c>
      <c r="D43" s="1013">
        <f ca="1">industrie!C22</f>
        <v>0</v>
      </c>
      <c r="E43" s="1013">
        <f>industrie!D22</f>
        <v>2932.7249923417203</v>
      </c>
      <c r="F43" s="1013">
        <f>industrie!E22</f>
        <v>698.33802205892812</v>
      </c>
      <c r="G43" s="1013">
        <f>industrie!F22</f>
        <v>2681.6049572094789</v>
      </c>
      <c r="H43" s="1013">
        <f>industrie!G22</f>
        <v>0</v>
      </c>
      <c r="I43" s="1013">
        <f>industrie!H22</f>
        <v>0</v>
      </c>
      <c r="J43" s="1013">
        <f>industrie!I22</f>
        <v>0</v>
      </c>
      <c r="K43" s="1013">
        <f>industrie!J22</f>
        <v>40.870060376755944</v>
      </c>
      <c r="L43" s="1013">
        <f>industrie!K22</f>
        <v>0</v>
      </c>
      <c r="M43" s="1013">
        <f>industrie!L22</f>
        <v>0</v>
      </c>
      <c r="N43" s="1013">
        <f>industrie!M22</f>
        <v>0</v>
      </c>
      <c r="O43" s="1013">
        <f>industrie!N22</f>
        <v>0</v>
      </c>
      <c r="P43" s="1013">
        <f>industrie!O22</f>
        <v>0</v>
      </c>
      <c r="Q43" s="774">
        <f>industrie!P22</f>
        <v>0</v>
      </c>
      <c r="R43" s="849">
        <f t="shared" ca="1" si="4"/>
        <v>15544.025227105152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39941.866546727681</v>
      </c>
      <c r="D46" s="732">
        <f t="shared" ref="D46:Q46" ca="1" si="5">SUM(D39:D45)</f>
        <v>458.31932773109253</v>
      </c>
      <c r="E46" s="732">
        <f t="shared" ca="1" si="5"/>
        <v>63472.1917108985</v>
      </c>
      <c r="F46" s="732">
        <f t="shared" si="5"/>
        <v>1394.2952841964293</v>
      </c>
      <c r="G46" s="732">
        <f t="shared" ca="1" si="5"/>
        <v>6471.6926678287564</v>
      </c>
      <c r="H46" s="732">
        <f t="shared" si="5"/>
        <v>0</v>
      </c>
      <c r="I46" s="732">
        <f t="shared" si="5"/>
        <v>0</v>
      </c>
      <c r="J46" s="732">
        <f t="shared" si="5"/>
        <v>0</v>
      </c>
      <c r="K46" s="732">
        <f t="shared" si="5"/>
        <v>40.908507528538472</v>
      </c>
      <c r="L46" s="732">
        <f t="shared" si="5"/>
        <v>0</v>
      </c>
      <c r="M46" s="732">
        <f t="shared" ca="1" si="5"/>
        <v>0</v>
      </c>
      <c r="N46" s="732">
        <f t="shared" si="5"/>
        <v>0</v>
      </c>
      <c r="O46" s="732">
        <f t="shared" ca="1" si="5"/>
        <v>0</v>
      </c>
      <c r="P46" s="732">
        <f t="shared" si="5"/>
        <v>0</v>
      </c>
      <c r="Q46" s="732">
        <f t="shared" si="5"/>
        <v>0</v>
      </c>
      <c r="R46" s="732">
        <f ca="1">SUM(R39:R45)</f>
        <v>111779.274044911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1183.5753875551754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1183.5753875551754</v>
      </c>
    </row>
    <row r="50" spans="1:18">
      <c r="A50" s="825" t="s">
        <v>307</v>
      </c>
      <c r="B50" s="835"/>
      <c r="C50" s="703">
        <f ca="1">transport!B18</f>
        <v>35.015156181788889</v>
      </c>
      <c r="D50" s="703">
        <f>transport!C18</f>
        <v>0</v>
      </c>
      <c r="E50" s="703">
        <f>transport!D18</f>
        <v>107.61529527480369</v>
      </c>
      <c r="F50" s="703">
        <f>transport!E18</f>
        <v>190.05616214911794</v>
      </c>
      <c r="G50" s="703">
        <f>transport!F18</f>
        <v>0</v>
      </c>
      <c r="H50" s="703">
        <f>transport!G18</f>
        <v>80225.47770157241</v>
      </c>
      <c r="I50" s="703">
        <f>transport!H18</f>
        <v>15452.787822547682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96010.952137725806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35.015156181788889</v>
      </c>
      <c r="D52" s="732">
        <f t="shared" ref="D52:Q52" ca="1" si="6">SUM(D48:D51)</f>
        <v>0</v>
      </c>
      <c r="E52" s="732">
        <f t="shared" si="6"/>
        <v>107.61529527480369</v>
      </c>
      <c r="F52" s="732">
        <f t="shared" si="6"/>
        <v>190.05616214911794</v>
      </c>
      <c r="G52" s="732">
        <f t="shared" si="6"/>
        <v>0</v>
      </c>
      <c r="H52" s="732">
        <f t="shared" si="6"/>
        <v>81409.053089127585</v>
      </c>
      <c r="I52" s="732">
        <f t="shared" si="6"/>
        <v>15452.787822547682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97194.527525280981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6.6254952421195261</v>
      </c>
      <c r="D54" s="703">
        <f ca="1">+landbouw!C12</f>
        <v>6.1109243697478997</v>
      </c>
      <c r="E54" s="703">
        <f>+landbouw!D12</f>
        <v>0</v>
      </c>
      <c r="F54" s="703">
        <f>+landbouw!E12</f>
        <v>0.20586240231415123</v>
      </c>
      <c r="G54" s="703">
        <f>+landbouw!F12</f>
        <v>34.318741639693485</v>
      </c>
      <c r="H54" s="703">
        <f>+landbouw!G12</f>
        <v>0</v>
      </c>
      <c r="I54" s="703">
        <f>+landbouw!H12</f>
        <v>0</v>
      </c>
      <c r="J54" s="703">
        <f>+landbouw!I12</f>
        <v>0</v>
      </c>
      <c r="K54" s="703">
        <f>+landbouw!J12</f>
        <v>1.5823907612317152</v>
      </c>
      <c r="L54" s="703">
        <f>+landbouw!K12</f>
        <v>0</v>
      </c>
      <c r="M54" s="703">
        <f>+landbouw!L12</f>
        <v>0</v>
      </c>
      <c r="N54" s="703">
        <f>+landbouw!M12</f>
        <v>0</v>
      </c>
      <c r="O54" s="703">
        <f>+landbouw!N12</f>
        <v>0</v>
      </c>
      <c r="P54" s="703">
        <f>+landbouw!O12</f>
        <v>0</v>
      </c>
      <c r="Q54" s="704">
        <f>+landbouw!P12</f>
        <v>0</v>
      </c>
      <c r="R54" s="731">
        <f ca="1">SUM(C54:Q54)</f>
        <v>48.843414415106778</v>
      </c>
    </row>
    <row r="55" spans="1:18" ht="15" thickBot="1">
      <c r="A55" s="825" t="s">
        <v>836</v>
      </c>
      <c r="B55" s="835"/>
      <c r="C55" s="703">
        <f ca="1">C25*'EF ele_warmte'!B12</f>
        <v>1244.2470884281759</v>
      </c>
      <c r="D55" s="703"/>
      <c r="E55" s="703">
        <f>E25*EF_CO2_aardgas</f>
        <v>2594.1797283255437</v>
      </c>
      <c r="F55" s="703"/>
      <c r="G55" s="703"/>
      <c r="H55" s="703"/>
      <c r="I55" s="703"/>
      <c r="J55" s="703"/>
      <c r="K55" s="703"/>
      <c r="L55" s="703"/>
      <c r="M55" s="703"/>
      <c r="N55" s="703"/>
      <c r="O55" s="703"/>
      <c r="P55" s="703"/>
      <c r="Q55" s="704"/>
      <c r="R55" s="731">
        <f ca="1">SUM(C55:Q55)</f>
        <v>3838.4268167537193</v>
      </c>
    </row>
    <row r="56" spans="1:18" ht="15.75" thickBot="1">
      <c r="A56" s="823" t="s">
        <v>837</v>
      </c>
      <c r="B56" s="836"/>
      <c r="C56" s="732">
        <f ca="1">SUM(C54:C55)</f>
        <v>1250.8725836702954</v>
      </c>
      <c r="D56" s="732">
        <f t="shared" ref="D56:Q56" ca="1" si="7">SUM(D54:D55)</f>
        <v>6.1109243697478997</v>
      </c>
      <c r="E56" s="732">
        <f t="shared" si="7"/>
        <v>2594.1797283255437</v>
      </c>
      <c r="F56" s="732">
        <f t="shared" si="7"/>
        <v>0.20586240231415123</v>
      </c>
      <c r="G56" s="732">
        <f t="shared" si="7"/>
        <v>34.318741639693485</v>
      </c>
      <c r="H56" s="732">
        <f t="shared" si="7"/>
        <v>0</v>
      </c>
      <c r="I56" s="732">
        <f t="shared" si="7"/>
        <v>0</v>
      </c>
      <c r="J56" s="732">
        <f t="shared" si="7"/>
        <v>0</v>
      </c>
      <c r="K56" s="732">
        <f t="shared" si="7"/>
        <v>1.5823907612317152</v>
      </c>
      <c r="L56" s="732">
        <f t="shared" si="7"/>
        <v>0</v>
      </c>
      <c r="M56" s="732">
        <f t="shared" si="7"/>
        <v>0</v>
      </c>
      <c r="N56" s="732">
        <f t="shared" si="7"/>
        <v>0</v>
      </c>
      <c r="O56" s="732">
        <f t="shared" si="7"/>
        <v>0</v>
      </c>
      <c r="P56" s="732">
        <f t="shared" si="7"/>
        <v>0</v>
      </c>
      <c r="Q56" s="733">
        <f t="shared" si="7"/>
        <v>0</v>
      </c>
      <c r="R56" s="734">
        <f ca="1">SUM(R54:R55)</f>
        <v>3887.2702311688263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41227.754286579766</v>
      </c>
      <c r="D61" s="740">
        <f t="shared" ref="D61:Q61" ca="1" si="8">D46+D52+D56</f>
        <v>464.43025210084045</v>
      </c>
      <c r="E61" s="740">
        <f t="shared" ca="1" si="8"/>
        <v>66173.986734498845</v>
      </c>
      <c r="F61" s="740">
        <f t="shared" si="8"/>
        <v>1584.5573087478613</v>
      </c>
      <c r="G61" s="740">
        <f t="shared" ca="1" si="8"/>
        <v>6506.0114094684495</v>
      </c>
      <c r="H61" s="740">
        <f t="shared" si="8"/>
        <v>81409.053089127585</v>
      </c>
      <c r="I61" s="740">
        <f t="shared" si="8"/>
        <v>15452.787822547682</v>
      </c>
      <c r="J61" s="740">
        <f t="shared" si="8"/>
        <v>0</v>
      </c>
      <c r="K61" s="740">
        <f t="shared" si="8"/>
        <v>42.490898289770186</v>
      </c>
      <c r="L61" s="740">
        <f t="shared" si="8"/>
        <v>0</v>
      </c>
      <c r="M61" s="740">
        <f t="shared" ca="1" si="8"/>
        <v>0</v>
      </c>
      <c r="N61" s="740">
        <f t="shared" si="8"/>
        <v>0</v>
      </c>
      <c r="O61" s="740">
        <f t="shared" ca="1" si="8"/>
        <v>0</v>
      </c>
      <c r="P61" s="740">
        <f t="shared" si="8"/>
        <v>0</v>
      </c>
      <c r="Q61" s="740">
        <f t="shared" si="8"/>
        <v>0</v>
      </c>
      <c r="R61" s="740">
        <f ca="1">R46+R52+R56</f>
        <v>212861.07180136081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0.21473947395693083</v>
      </c>
      <c r="D63" s="781">
        <f t="shared" ca="1" si="9"/>
        <v>0.23764705882352946</v>
      </c>
      <c r="E63" s="1024">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5541.761616897591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1368</v>
      </c>
      <c r="D76" s="1034">
        <f>'lokale energieproductie'!C8</f>
        <v>1609.4117647058822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325.1011764705882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5541.761616897591</v>
      </c>
      <c r="C78" s="755">
        <f>SUM(C72:C77)</f>
        <v>1368</v>
      </c>
      <c r="D78" s="756">
        <f t="shared" ref="D78:H78" si="10">SUM(D76:D77)</f>
        <v>1609.4117647058822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325.1011764705882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1954.2857142857144</v>
      </c>
      <c r="D87" s="777">
        <f>'lokale energieproductie'!C17</f>
        <v>2299.1596638655465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464.43025210084039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1954.2857142857144</v>
      </c>
      <c r="D90" s="755">
        <f t="shared" ref="D90:H90" si="12">SUM(D87:D89)</f>
        <v>2299.1596638655465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464.43025210084039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53812.982597452276</v>
      </c>
      <c r="C4" s="477">
        <f>huishoudens!C8</f>
        <v>0</v>
      </c>
      <c r="D4" s="477">
        <f>huishoudens!D8</f>
        <v>187248.81015619042</v>
      </c>
      <c r="E4" s="477">
        <f>huishoudens!E8</f>
        <v>2060.4324576380368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9419.5440949913555</v>
      </c>
      <c r="O4" s="477">
        <f>huishoudens!O8</f>
        <v>146.95333333333335</v>
      </c>
      <c r="P4" s="478">
        <f>huishoudens!P8</f>
        <v>247.86666666666667</v>
      </c>
      <c r="Q4" s="479">
        <f>SUM(B4:P4)</f>
        <v>252936.58930627207</v>
      </c>
    </row>
    <row r="5" spans="1:17">
      <c r="A5" s="476" t="s">
        <v>156</v>
      </c>
      <c r="B5" s="477">
        <f ca="1">tertiair!B16</f>
        <v>86798.457793455105</v>
      </c>
      <c r="C5" s="477">
        <f ca="1">tertiair!C16</f>
        <v>1928.5714285714287</v>
      </c>
      <c r="D5" s="477">
        <f ca="1">tertiair!D16</f>
        <v>112451.52013369462</v>
      </c>
      <c r="E5" s="477">
        <f>tertiair!E16</f>
        <v>1005.4585649941266</v>
      </c>
      <c r="F5" s="477">
        <f ca="1">tertiair!F16</f>
        <v>14195.085058499168</v>
      </c>
      <c r="G5" s="477">
        <f>tertiair!G16</f>
        <v>0</v>
      </c>
      <c r="H5" s="477">
        <f>tertiair!H16</f>
        <v>0</v>
      </c>
      <c r="I5" s="477">
        <f>tertiair!I16</f>
        <v>0</v>
      </c>
      <c r="J5" s="477">
        <f>tertiair!J16</f>
        <v>0.10860777339696492</v>
      </c>
      <c r="K5" s="477">
        <f>tertiair!K16</f>
        <v>0</v>
      </c>
      <c r="L5" s="477">
        <f ca="1">tertiair!L16</f>
        <v>0</v>
      </c>
      <c r="M5" s="477">
        <f>tertiair!M16</f>
        <v>0</v>
      </c>
      <c r="N5" s="477">
        <f ca="1">tertiair!N16</f>
        <v>4453.9369988435519</v>
      </c>
      <c r="O5" s="477">
        <f>tertiair!O16</f>
        <v>0</v>
      </c>
      <c r="P5" s="478">
        <f>tertiair!P16</f>
        <v>95.333333333333343</v>
      </c>
      <c r="Q5" s="476">
        <f t="shared" ref="Q5:Q14" ca="1" si="0">SUM(B5:P5)</f>
        <v>220928.47191916476</v>
      </c>
    </row>
    <row r="6" spans="1:17">
      <c r="A6" s="476" t="s">
        <v>194</v>
      </c>
      <c r="B6" s="477">
        <f>'openbare verlichting'!B8</f>
        <v>2591.7573489597698</v>
      </c>
      <c r="C6" s="477"/>
      <c r="D6" s="477"/>
      <c r="E6" s="477"/>
      <c r="F6" s="477"/>
      <c r="G6" s="477"/>
      <c r="H6" s="477"/>
      <c r="I6" s="477"/>
      <c r="J6" s="477"/>
      <c r="K6" s="477"/>
      <c r="L6" s="477"/>
      <c r="M6" s="477"/>
      <c r="N6" s="477"/>
      <c r="O6" s="477"/>
      <c r="P6" s="478"/>
      <c r="Q6" s="476">
        <f t="shared" si="0"/>
        <v>2591.7573489597698</v>
      </c>
    </row>
    <row r="7" spans="1:17">
      <c r="A7" s="476" t="s">
        <v>112</v>
      </c>
      <c r="B7" s="477">
        <f>landbouw!B8</f>
        <v>30.853643813285899</v>
      </c>
      <c r="C7" s="477">
        <f>landbouw!C8</f>
        <v>25.714285714285715</v>
      </c>
      <c r="D7" s="477">
        <f>landbouw!D8</f>
        <v>0</v>
      </c>
      <c r="E7" s="477">
        <f>landbouw!E8</f>
        <v>0.90688282957775868</v>
      </c>
      <c r="F7" s="477">
        <f>landbouw!F8</f>
        <v>128.53461288274713</v>
      </c>
      <c r="G7" s="477">
        <f>landbouw!G8</f>
        <v>0</v>
      </c>
      <c r="H7" s="477">
        <f>landbouw!H8</f>
        <v>0</v>
      </c>
      <c r="I7" s="477">
        <f>landbouw!I8</f>
        <v>0</v>
      </c>
      <c r="J7" s="477">
        <f>landbouw!J8</f>
        <v>4.4700303989596479</v>
      </c>
      <c r="K7" s="477">
        <f>landbouw!K8</f>
        <v>0</v>
      </c>
      <c r="L7" s="477">
        <f>landbouw!L8</f>
        <v>0</v>
      </c>
      <c r="M7" s="477">
        <f>landbouw!M8</f>
        <v>0</v>
      </c>
      <c r="N7" s="477">
        <f>landbouw!N8</f>
        <v>0</v>
      </c>
      <c r="O7" s="477">
        <f>landbouw!O8</f>
        <v>0</v>
      </c>
      <c r="P7" s="478">
        <f>landbouw!P8</f>
        <v>0</v>
      </c>
      <c r="Q7" s="476">
        <f t="shared" si="0"/>
        <v>190.47945563885614</v>
      </c>
    </row>
    <row r="8" spans="1:17">
      <c r="A8" s="476" t="s">
        <v>635</v>
      </c>
      <c r="B8" s="477">
        <f>industrie!B18</f>
        <v>42798.312884763596</v>
      </c>
      <c r="C8" s="477">
        <f>industrie!C18</f>
        <v>0</v>
      </c>
      <c r="D8" s="477">
        <f>industrie!D18</f>
        <v>14518.440556147129</v>
      </c>
      <c r="E8" s="477">
        <f>industrie!E18</f>
        <v>3076.3789518014455</v>
      </c>
      <c r="F8" s="477">
        <f>industrie!F18</f>
        <v>10043.464259211531</v>
      </c>
      <c r="G8" s="477">
        <f>industrie!G18</f>
        <v>0</v>
      </c>
      <c r="H8" s="477">
        <f>industrie!H18</f>
        <v>0</v>
      </c>
      <c r="I8" s="477">
        <f>industrie!I18</f>
        <v>0</v>
      </c>
      <c r="J8" s="477">
        <f>industrie!J18</f>
        <v>115.45214795693771</v>
      </c>
      <c r="K8" s="477">
        <f>industrie!K18</f>
        <v>0</v>
      </c>
      <c r="L8" s="477">
        <f>industrie!L18</f>
        <v>0</v>
      </c>
      <c r="M8" s="477">
        <f>industrie!M18</f>
        <v>0</v>
      </c>
      <c r="N8" s="477">
        <f>industrie!N18</f>
        <v>8972.6068551999015</v>
      </c>
      <c r="O8" s="477">
        <f>industrie!O18</f>
        <v>0</v>
      </c>
      <c r="P8" s="478">
        <f>industrie!P18</f>
        <v>0</v>
      </c>
      <c r="Q8" s="476">
        <f t="shared" si="0"/>
        <v>79524.65565508054</v>
      </c>
    </row>
    <row r="9" spans="1:17" s="482" customFormat="1">
      <c r="A9" s="480" t="s">
        <v>561</v>
      </c>
      <c r="B9" s="481">
        <f>transport!B14</f>
        <v>163.05877786033741</v>
      </c>
      <c r="C9" s="481">
        <f>transport!C14</f>
        <v>0</v>
      </c>
      <c r="D9" s="481">
        <f>transport!D14</f>
        <v>532.74898650892908</v>
      </c>
      <c r="E9" s="481">
        <f>transport!E14</f>
        <v>837.25181563488081</v>
      </c>
      <c r="F9" s="481">
        <f>transport!F14</f>
        <v>0</v>
      </c>
      <c r="G9" s="481">
        <f>transport!G14</f>
        <v>300469.95393847342</v>
      </c>
      <c r="H9" s="481">
        <f>transport!H14</f>
        <v>62059.388845573019</v>
      </c>
      <c r="I9" s="481">
        <f>transport!I14</f>
        <v>0</v>
      </c>
      <c r="J9" s="481">
        <f>transport!J14</f>
        <v>0</v>
      </c>
      <c r="K9" s="481">
        <f>transport!K14</f>
        <v>0</v>
      </c>
      <c r="L9" s="481">
        <f>transport!L14</f>
        <v>0</v>
      </c>
      <c r="M9" s="481">
        <f>transport!M14</f>
        <v>19385.88728063101</v>
      </c>
      <c r="N9" s="481">
        <f>transport!N14</f>
        <v>0</v>
      </c>
      <c r="O9" s="481">
        <f>transport!O14</f>
        <v>0</v>
      </c>
      <c r="P9" s="481">
        <f>transport!P14</f>
        <v>0</v>
      </c>
      <c r="Q9" s="480">
        <f>SUM(B9:P9)</f>
        <v>383448.28964468156</v>
      </c>
    </row>
    <row r="10" spans="1:17">
      <c r="A10" s="476" t="s">
        <v>551</v>
      </c>
      <c r="B10" s="477">
        <f>transport!B54</f>
        <v>0</v>
      </c>
      <c r="C10" s="477">
        <f>transport!C54</f>
        <v>0</v>
      </c>
      <c r="D10" s="477">
        <f>transport!D54</f>
        <v>0</v>
      </c>
      <c r="E10" s="477">
        <f>transport!E54</f>
        <v>0</v>
      </c>
      <c r="F10" s="477">
        <f>transport!F54</f>
        <v>0</v>
      </c>
      <c r="G10" s="477">
        <f>transport!G54</f>
        <v>4432.8666200568368</v>
      </c>
      <c r="H10" s="477">
        <f>transport!H54</f>
        <v>0</v>
      </c>
      <c r="I10" s="477">
        <f>transport!I54</f>
        <v>0</v>
      </c>
      <c r="J10" s="477">
        <f>transport!J54</f>
        <v>0</v>
      </c>
      <c r="K10" s="477">
        <f>transport!K54</f>
        <v>0</v>
      </c>
      <c r="L10" s="477">
        <f>transport!L54</f>
        <v>0</v>
      </c>
      <c r="M10" s="477">
        <f>transport!M54</f>
        <v>251.76725479093147</v>
      </c>
      <c r="N10" s="477">
        <f>transport!N54</f>
        <v>0</v>
      </c>
      <c r="O10" s="477">
        <f>transport!O54</f>
        <v>0</v>
      </c>
      <c r="P10" s="478">
        <f>transport!P54</f>
        <v>0</v>
      </c>
      <c r="Q10" s="476">
        <f t="shared" si="0"/>
        <v>4684.6338748477683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5794.2168968790902</v>
      </c>
      <c r="C14" s="484"/>
      <c r="D14" s="484">
        <f>'SEAP template'!E25</f>
        <v>12842.4739026017</v>
      </c>
      <c r="E14" s="484"/>
      <c r="F14" s="484"/>
      <c r="G14" s="484"/>
      <c r="H14" s="484"/>
      <c r="I14" s="484"/>
      <c r="J14" s="484"/>
      <c r="K14" s="484"/>
      <c r="L14" s="484"/>
      <c r="M14" s="484"/>
      <c r="N14" s="484"/>
      <c r="O14" s="484"/>
      <c r="P14" s="485"/>
      <c r="Q14" s="476">
        <f t="shared" si="0"/>
        <v>18636.690799480792</v>
      </c>
    </row>
    <row r="15" spans="1:17" s="486" customFormat="1">
      <c r="A15" s="1039" t="s">
        <v>555</v>
      </c>
      <c r="B15" s="987">
        <f ca="1">SUM(B4:B14)</f>
        <v>191989.63994318343</v>
      </c>
      <c r="C15" s="987">
        <f t="shared" ref="C15:Q15" ca="1" si="1">SUM(C4:C14)</f>
        <v>1954.2857142857144</v>
      </c>
      <c r="D15" s="987">
        <f t="shared" ca="1" si="1"/>
        <v>327593.99373514281</v>
      </c>
      <c r="E15" s="987">
        <f t="shared" si="1"/>
        <v>6980.4286728980669</v>
      </c>
      <c r="F15" s="987">
        <f t="shared" ca="1" si="1"/>
        <v>24367.083930593446</v>
      </c>
      <c r="G15" s="987">
        <f t="shared" si="1"/>
        <v>304902.82055853028</v>
      </c>
      <c r="H15" s="987">
        <f t="shared" si="1"/>
        <v>62059.388845573019</v>
      </c>
      <c r="I15" s="987">
        <f t="shared" si="1"/>
        <v>0</v>
      </c>
      <c r="J15" s="987">
        <f t="shared" si="1"/>
        <v>120.03078612929433</v>
      </c>
      <c r="K15" s="987">
        <f t="shared" si="1"/>
        <v>0</v>
      </c>
      <c r="L15" s="987">
        <f t="shared" ca="1" si="1"/>
        <v>0</v>
      </c>
      <c r="M15" s="987">
        <f t="shared" si="1"/>
        <v>19637.654535421942</v>
      </c>
      <c r="N15" s="987">
        <f t="shared" ca="1" si="1"/>
        <v>22846.087949034809</v>
      </c>
      <c r="O15" s="987">
        <f t="shared" si="1"/>
        <v>146.95333333333335</v>
      </c>
      <c r="P15" s="987">
        <f t="shared" si="1"/>
        <v>343.20000000000005</v>
      </c>
      <c r="Q15" s="987">
        <f t="shared" ca="1" si="1"/>
        <v>962941.56800412619</v>
      </c>
    </row>
    <row r="17" spans="1:17">
      <c r="A17" s="487" t="s">
        <v>556</v>
      </c>
      <c r="B17" s="786">
        <f ca="1">huishoudens!B10</f>
        <v>0.2147394739569308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11555.771575030372</v>
      </c>
      <c r="C22" s="477">
        <f t="shared" ref="C22:C32" ca="1" si="3">C4*$C$17</f>
        <v>0</v>
      </c>
      <c r="D22" s="477">
        <f t="shared" ref="D22:D32" si="4">D4*$D$17</f>
        <v>37824.25965155047</v>
      </c>
      <c r="E22" s="477">
        <f t="shared" ref="E22:E32" si="5">E4*$E$17</f>
        <v>467.71816788383438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49847.749394464678</v>
      </c>
    </row>
    <row r="23" spans="1:17">
      <c r="A23" s="476" t="s">
        <v>156</v>
      </c>
      <c r="B23" s="477">
        <f t="shared" ca="1" si="2"/>
        <v>18639.055166839411</v>
      </c>
      <c r="C23" s="477">
        <f t="shared" ca="1" si="3"/>
        <v>458.31932773109253</v>
      </c>
      <c r="D23" s="477">
        <f t="shared" ca="1" si="4"/>
        <v>22715.207067006315</v>
      </c>
      <c r="E23" s="477">
        <f t="shared" si="5"/>
        <v>228.23909425366676</v>
      </c>
      <c r="F23" s="477">
        <f t="shared" ca="1" si="6"/>
        <v>3790.0877106192779</v>
      </c>
      <c r="G23" s="477">
        <f t="shared" si="7"/>
        <v>0</v>
      </c>
      <c r="H23" s="477">
        <f t="shared" si="8"/>
        <v>0</v>
      </c>
      <c r="I23" s="477">
        <f t="shared" si="9"/>
        <v>0</v>
      </c>
      <c r="J23" s="477">
        <f t="shared" si="10"/>
        <v>3.8447151782525578E-2</v>
      </c>
      <c r="K23" s="477">
        <f t="shared" si="11"/>
        <v>0</v>
      </c>
      <c r="L23" s="477">
        <f t="shared" ca="1" si="12"/>
        <v>0</v>
      </c>
      <c r="M23" s="477">
        <f t="shared" si="13"/>
        <v>0</v>
      </c>
      <c r="N23" s="477">
        <f t="shared" ca="1" si="14"/>
        <v>0</v>
      </c>
      <c r="O23" s="477">
        <f t="shared" si="15"/>
        <v>0</v>
      </c>
      <c r="P23" s="478">
        <f t="shared" si="16"/>
        <v>0</v>
      </c>
      <c r="Q23" s="476">
        <f t="shared" ref="Q23:Q32" ca="1" si="17">SUM(B23:P23)</f>
        <v>45830.946813601549</v>
      </c>
    </row>
    <row r="24" spans="1:17">
      <c r="A24" s="476" t="s">
        <v>194</v>
      </c>
      <c r="B24" s="477">
        <f t="shared" ca="1" si="2"/>
        <v>556.5526097396305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556.5526097396305</v>
      </c>
    </row>
    <row r="25" spans="1:17">
      <c r="A25" s="476" t="s">
        <v>112</v>
      </c>
      <c r="B25" s="477">
        <f t="shared" ca="1" si="2"/>
        <v>6.6254952421195261</v>
      </c>
      <c r="C25" s="477">
        <f t="shared" ca="1" si="3"/>
        <v>6.1109243697478997</v>
      </c>
      <c r="D25" s="477">
        <f t="shared" si="4"/>
        <v>0</v>
      </c>
      <c r="E25" s="477">
        <f t="shared" si="5"/>
        <v>0.20586240231415123</v>
      </c>
      <c r="F25" s="477">
        <f t="shared" si="6"/>
        <v>34.318741639693485</v>
      </c>
      <c r="G25" s="477">
        <f t="shared" si="7"/>
        <v>0</v>
      </c>
      <c r="H25" s="477">
        <f t="shared" si="8"/>
        <v>0</v>
      </c>
      <c r="I25" s="477">
        <f t="shared" si="9"/>
        <v>0</v>
      </c>
      <c r="J25" s="477">
        <f t="shared" si="10"/>
        <v>1.5823907612317152</v>
      </c>
      <c r="K25" s="477">
        <f t="shared" si="11"/>
        <v>0</v>
      </c>
      <c r="L25" s="477">
        <f t="shared" si="12"/>
        <v>0</v>
      </c>
      <c r="M25" s="477">
        <f t="shared" si="13"/>
        <v>0</v>
      </c>
      <c r="N25" s="477">
        <f t="shared" si="14"/>
        <v>0</v>
      </c>
      <c r="O25" s="477">
        <f t="shared" si="15"/>
        <v>0</v>
      </c>
      <c r="P25" s="478">
        <f t="shared" si="16"/>
        <v>0</v>
      </c>
      <c r="Q25" s="476">
        <f t="shared" ca="1" si="17"/>
        <v>48.843414415106778</v>
      </c>
    </row>
    <row r="26" spans="1:17">
      <c r="A26" s="476" t="s">
        <v>635</v>
      </c>
      <c r="B26" s="477">
        <f t="shared" ca="1" si="2"/>
        <v>9190.4871951182686</v>
      </c>
      <c r="C26" s="477">
        <f t="shared" ca="1" si="3"/>
        <v>0</v>
      </c>
      <c r="D26" s="477">
        <f t="shared" si="4"/>
        <v>2932.7249923417203</v>
      </c>
      <c r="E26" s="477">
        <f t="shared" si="5"/>
        <v>698.33802205892812</v>
      </c>
      <c r="F26" s="477">
        <f t="shared" si="6"/>
        <v>2681.6049572094789</v>
      </c>
      <c r="G26" s="477">
        <f t="shared" si="7"/>
        <v>0</v>
      </c>
      <c r="H26" s="477">
        <f t="shared" si="8"/>
        <v>0</v>
      </c>
      <c r="I26" s="477">
        <f t="shared" si="9"/>
        <v>0</v>
      </c>
      <c r="J26" s="477">
        <f t="shared" si="10"/>
        <v>40.870060376755944</v>
      </c>
      <c r="K26" s="477">
        <f t="shared" si="11"/>
        <v>0</v>
      </c>
      <c r="L26" s="477">
        <f t="shared" si="12"/>
        <v>0</v>
      </c>
      <c r="M26" s="477">
        <f t="shared" si="13"/>
        <v>0</v>
      </c>
      <c r="N26" s="477">
        <f t="shared" si="14"/>
        <v>0</v>
      </c>
      <c r="O26" s="477">
        <f t="shared" si="15"/>
        <v>0</v>
      </c>
      <c r="P26" s="478">
        <f t="shared" si="16"/>
        <v>0</v>
      </c>
      <c r="Q26" s="476">
        <f t="shared" ca="1" si="17"/>
        <v>15544.025227105152</v>
      </c>
    </row>
    <row r="27" spans="1:17" s="482" customFormat="1">
      <c r="A27" s="480" t="s">
        <v>561</v>
      </c>
      <c r="B27" s="780">
        <f t="shared" ca="1" si="2"/>
        <v>35.015156181788889</v>
      </c>
      <c r="C27" s="481">
        <f t="shared" ca="1" si="3"/>
        <v>0</v>
      </c>
      <c r="D27" s="481">
        <f t="shared" si="4"/>
        <v>107.61529527480369</v>
      </c>
      <c r="E27" s="481">
        <f t="shared" si="5"/>
        <v>190.05616214911794</v>
      </c>
      <c r="F27" s="481">
        <f t="shared" si="6"/>
        <v>0</v>
      </c>
      <c r="G27" s="481">
        <f t="shared" si="7"/>
        <v>80225.47770157241</v>
      </c>
      <c r="H27" s="481">
        <f t="shared" si="8"/>
        <v>15452.787822547682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96010.952137725806</v>
      </c>
    </row>
    <row r="28" spans="1:17">
      <c r="A28" s="476" t="s">
        <v>551</v>
      </c>
      <c r="B28" s="477">
        <f t="shared" ca="1" si="2"/>
        <v>0</v>
      </c>
      <c r="C28" s="477">
        <f t="shared" ca="1" si="3"/>
        <v>0</v>
      </c>
      <c r="D28" s="477">
        <f t="shared" si="4"/>
        <v>0</v>
      </c>
      <c r="E28" s="477">
        <f t="shared" si="5"/>
        <v>0</v>
      </c>
      <c r="F28" s="477">
        <f t="shared" si="6"/>
        <v>0</v>
      </c>
      <c r="G28" s="477">
        <f t="shared" si="7"/>
        <v>1183.5753875551754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1183.5753875551754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1244.2470884281759</v>
      </c>
      <c r="C32" s="477">
        <f t="shared" ca="1" si="3"/>
        <v>0</v>
      </c>
      <c r="D32" s="477">
        <f t="shared" si="4"/>
        <v>2594.1797283255437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3838.4268167537193</v>
      </c>
    </row>
    <row r="33" spans="1:17" s="486" customFormat="1">
      <c r="A33" s="1039" t="s">
        <v>555</v>
      </c>
      <c r="B33" s="987">
        <f ca="1">SUM(B22:B32)</f>
        <v>41227.754286579773</v>
      </c>
      <c r="C33" s="987">
        <f t="shared" ref="C33:Q33" ca="1" si="18">SUM(C22:C32)</f>
        <v>464.43025210084045</v>
      </c>
      <c r="D33" s="987">
        <f t="shared" ca="1" si="18"/>
        <v>66173.986734498845</v>
      </c>
      <c r="E33" s="987">
        <f t="shared" si="18"/>
        <v>1584.5573087478613</v>
      </c>
      <c r="F33" s="987">
        <f t="shared" ca="1" si="18"/>
        <v>6506.0114094684504</v>
      </c>
      <c r="G33" s="987">
        <f t="shared" si="18"/>
        <v>81409.053089127585</v>
      </c>
      <c r="H33" s="987">
        <f t="shared" si="18"/>
        <v>15452.787822547682</v>
      </c>
      <c r="I33" s="987">
        <f t="shared" si="18"/>
        <v>0</v>
      </c>
      <c r="J33" s="987">
        <f t="shared" si="18"/>
        <v>42.490898289770186</v>
      </c>
      <c r="K33" s="987">
        <f t="shared" si="18"/>
        <v>0</v>
      </c>
      <c r="L33" s="987">
        <f t="shared" ca="1" si="18"/>
        <v>0</v>
      </c>
      <c r="M33" s="987">
        <f t="shared" si="18"/>
        <v>0</v>
      </c>
      <c r="N33" s="987">
        <f t="shared" ca="1" si="18"/>
        <v>0</v>
      </c>
      <c r="O33" s="987">
        <f t="shared" si="18"/>
        <v>0</v>
      </c>
      <c r="P33" s="987">
        <f t="shared" si="18"/>
        <v>0</v>
      </c>
      <c r="Q33" s="987">
        <f t="shared" ca="1" si="18"/>
        <v>212861.07180136084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5541.761616897591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1368</v>
      </c>
      <c r="D8" s="1056">
        <f>'SEAP template'!D76</f>
        <v>1609.4117647058822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325.1011764705882</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5541.761616897591</v>
      </c>
      <c r="C10" s="1060">
        <f>SUM(C4:C9)</f>
        <v>1368</v>
      </c>
      <c r="D10" s="1060">
        <f t="shared" ref="D10:H10" si="0">SUM(D8:D9)</f>
        <v>1609.4117647058822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325.1011764705882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0.2147394739569308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1954.2857142857144</v>
      </c>
      <c r="D17" s="1057">
        <f>'SEAP template'!D87</f>
        <v>2299.1596638655465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464.43025210084039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1954.2857142857144</v>
      </c>
      <c r="D20" s="1060">
        <f t="shared" ref="D20:H20" si="2">SUM(D17:D19)</f>
        <v>2299.1596638655465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464.43025210084039</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0.2147394739569308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0.2147394739569308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0.2147394739569308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16543</v>
      </c>
      <c r="C9" s="342">
        <v>17319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409.2</v>
      </c>
    </row>
    <row r="15" spans="1:6">
      <c r="A15" s="348" t="s">
        <v>184</v>
      </c>
      <c r="B15" s="334">
        <v>0</v>
      </c>
    </row>
    <row r="16" spans="1:6">
      <c r="A16" s="348" t="s">
        <v>6</v>
      </c>
      <c r="B16" s="334">
        <v>0</v>
      </c>
    </row>
    <row r="17" spans="1:6">
      <c r="A17" s="348" t="s">
        <v>7</v>
      </c>
      <c r="B17" s="334">
        <v>12</v>
      </c>
    </row>
    <row r="18" spans="1:6">
      <c r="A18" s="348" t="s">
        <v>8</v>
      </c>
      <c r="B18" s="334">
        <v>9</v>
      </c>
    </row>
    <row r="19" spans="1:6">
      <c r="A19" s="348" t="s">
        <v>9</v>
      </c>
      <c r="B19" s="334">
        <v>7</v>
      </c>
    </row>
    <row r="20" spans="1:6">
      <c r="A20" s="348" t="s">
        <v>10</v>
      </c>
      <c r="B20" s="334">
        <v>12</v>
      </c>
    </row>
    <row r="21" spans="1:6">
      <c r="A21" s="348" t="s">
        <v>11</v>
      </c>
      <c r="B21" s="334">
        <v>1</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88</v>
      </c>
    </row>
    <row r="27" spans="1:6">
      <c r="A27" s="348" t="s">
        <v>17</v>
      </c>
      <c r="B27" s="334">
        <v>5</v>
      </c>
    </row>
    <row r="28" spans="1:6" s="356" customFormat="1">
      <c r="A28" s="355" t="s">
        <v>18</v>
      </c>
      <c r="B28" s="355">
        <v>60</v>
      </c>
    </row>
    <row r="29" spans="1:6">
      <c r="A29" s="355" t="s">
        <v>744</v>
      </c>
      <c r="B29" s="355">
        <v>22</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14093.5538862216</v>
      </c>
    </row>
    <row r="37" spans="1:6">
      <c r="A37" s="348" t="s">
        <v>25</v>
      </c>
      <c r="B37" s="348" t="s">
        <v>28</v>
      </c>
      <c r="C37" s="334">
        <v>0</v>
      </c>
      <c r="D37" s="334">
        <v>0</v>
      </c>
      <c r="E37" s="334">
        <v>0</v>
      </c>
      <c r="F37" s="334">
        <v>0</v>
      </c>
    </row>
    <row r="38" spans="1:6">
      <c r="A38" s="348" t="s">
        <v>25</v>
      </c>
      <c r="B38" s="348" t="s">
        <v>29</v>
      </c>
      <c r="C38" s="334">
        <v>3</v>
      </c>
      <c r="D38" s="334">
        <v>341814.64044621401</v>
      </c>
      <c r="E38" s="334">
        <v>3</v>
      </c>
      <c r="F38" s="334">
        <v>20134.9629207902</v>
      </c>
    </row>
    <row r="39" spans="1:6">
      <c r="A39" s="348" t="s">
        <v>30</v>
      </c>
      <c r="B39" s="348" t="s">
        <v>31</v>
      </c>
      <c r="C39" s="334">
        <v>14400</v>
      </c>
      <c r="D39" s="334">
        <v>207592038.858605</v>
      </c>
      <c r="E39" s="334">
        <v>16813</v>
      </c>
      <c r="F39" s="334">
        <v>51692576.019069903</v>
      </c>
    </row>
    <row r="40" spans="1:6">
      <c r="A40" s="348" t="s">
        <v>30</v>
      </c>
      <c r="B40" s="348" t="s">
        <v>29</v>
      </c>
      <c r="C40" s="334">
        <v>1</v>
      </c>
      <c r="D40" s="334">
        <v>877.05734890079998</v>
      </c>
      <c r="E40" s="334">
        <v>1</v>
      </c>
      <c r="F40" s="334">
        <v>4372.1902858632002</v>
      </c>
    </row>
    <row r="41" spans="1:6">
      <c r="A41" s="348" t="s">
        <v>32</v>
      </c>
      <c r="B41" s="348" t="s">
        <v>33</v>
      </c>
      <c r="C41" s="334">
        <v>94</v>
      </c>
      <c r="D41" s="334">
        <v>3947566.16074047</v>
      </c>
      <c r="E41" s="334">
        <v>181</v>
      </c>
      <c r="F41" s="334">
        <v>4367311.7888037805</v>
      </c>
    </row>
    <row r="42" spans="1:6">
      <c r="A42" s="348" t="s">
        <v>32</v>
      </c>
      <c r="B42" s="348" t="s">
        <v>34</v>
      </c>
      <c r="C42" s="334">
        <v>8</v>
      </c>
      <c r="D42" s="334">
        <v>5980691.2614637902</v>
      </c>
      <c r="E42" s="334">
        <v>5</v>
      </c>
      <c r="F42" s="334">
        <v>4978848.7308012098</v>
      </c>
    </row>
    <row r="43" spans="1:6">
      <c r="A43" s="348" t="s">
        <v>32</v>
      </c>
      <c r="B43" s="348" t="s">
        <v>35</v>
      </c>
      <c r="C43" s="334">
        <v>0</v>
      </c>
      <c r="D43" s="334">
        <v>0</v>
      </c>
      <c r="E43" s="334">
        <v>0</v>
      </c>
      <c r="F43" s="334">
        <v>0</v>
      </c>
    </row>
    <row r="44" spans="1:6">
      <c r="A44" s="348" t="s">
        <v>32</v>
      </c>
      <c r="B44" s="348" t="s">
        <v>36</v>
      </c>
      <c r="C44" s="334">
        <v>5</v>
      </c>
      <c r="D44" s="334">
        <v>481631.12092060799</v>
      </c>
      <c r="E44" s="334">
        <v>18</v>
      </c>
      <c r="F44" s="334">
        <v>620336.194247548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117463.99661885601</v>
      </c>
      <c r="E47" s="334">
        <v>7</v>
      </c>
      <c r="F47" s="334">
        <v>47792.988598217802</v>
      </c>
    </row>
    <row r="48" spans="1:6">
      <c r="A48" s="348" t="s">
        <v>32</v>
      </c>
      <c r="B48" s="348" t="s">
        <v>29</v>
      </c>
      <c r="C48" s="334">
        <v>42</v>
      </c>
      <c r="D48" s="334">
        <v>5201591.3253728002</v>
      </c>
      <c r="E48" s="334">
        <v>52</v>
      </c>
      <c r="F48" s="334">
        <v>32247309.923291899</v>
      </c>
    </row>
    <row r="49" spans="1:6">
      <c r="A49" s="348" t="s">
        <v>32</v>
      </c>
      <c r="B49" s="348" t="s">
        <v>40</v>
      </c>
      <c r="C49" s="334">
        <v>0</v>
      </c>
      <c r="D49" s="334">
        <v>0</v>
      </c>
      <c r="E49" s="334">
        <v>0</v>
      </c>
      <c r="F49" s="334">
        <v>0</v>
      </c>
    </row>
    <row r="50" spans="1:6">
      <c r="A50" s="348" t="s">
        <v>32</v>
      </c>
      <c r="B50" s="348" t="s">
        <v>41</v>
      </c>
      <c r="C50" s="334">
        <v>7</v>
      </c>
      <c r="D50" s="334">
        <v>366888.237042155</v>
      </c>
      <c r="E50" s="334">
        <v>12</v>
      </c>
      <c r="F50" s="334">
        <v>536713.25902094296</v>
      </c>
    </row>
    <row r="51" spans="1:6">
      <c r="A51" s="348" t="s">
        <v>42</v>
      </c>
      <c r="B51" s="348" t="s">
        <v>43</v>
      </c>
      <c r="C51" s="334">
        <v>0</v>
      </c>
      <c r="D51" s="334">
        <v>0</v>
      </c>
      <c r="E51" s="334">
        <v>0</v>
      </c>
      <c r="F51" s="334">
        <v>0</v>
      </c>
    </row>
    <row r="52" spans="1:6">
      <c r="A52" s="348" t="s">
        <v>42</v>
      </c>
      <c r="B52" s="348" t="s">
        <v>29</v>
      </c>
      <c r="C52" s="334">
        <v>1</v>
      </c>
      <c r="D52" s="334">
        <v>20801.7629132816</v>
      </c>
      <c r="E52" s="334">
        <v>4</v>
      </c>
      <c r="F52" s="334">
        <v>30853.6438132859</v>
      </c>
    </row>
    <row r="53" spans="1:6">
      <c r="A53" s="348" t="s">
        <v>44</v>
      </c>
      <c r="B53" s="348" t="s">
        <v>45</v>
      </c>
      <c r="C53" s="334">
        <v>391</v>
      </c>
      <c r="D53" s="334">
        <v>12842473.9026017</v>
      </c>
      <c r="E53" s="334">
        <v>729</v>
      </c>
      <c r="F53" s="334">
        <v>5794216.89687909</v>
      </c>
    </row>
    <row r="54" spans="1:6">
      <c r="A54" s="348" t="s">
        <v>46</v>
      </c>
      <c r="B54" s="348" t="s">
        <v>47</v>
      </c>
      <c r="C54" s="334">
        <v>0</v>
      </c>
      <c r="D54" s="334">
        <v>0</v>
      </c>
      <c r="E54" s="334">
        <v>2</v>
      </c>
      <c r="F54" s="334">
        <v>2591757.3489597701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2893451.7205593502</v>
      </c>
      <c r="E57" s="334">
        <v>116</v>
      </c>
      <c r="F57" s="334">
        <v>2222335.3639236698</v>
      </c>
    </row>
    <row r="58" spans="1:6">
      <c r="A58" s="348" t="s">
        <v>49</v>
      </c>
      <c r="B58" s="348" t="s">
        <v>51</v>
      </c>
      <c r="C58" s="334">
        <v>72</v>
      </c>
      <c r="D58" s="334">
        <v>14744100.3137243</v>
      </c>
      <c r="E58" s="334">
        <v>92</v>
      </c>
      <c r="F58" s="334">
        <v>6475056.3460437199</v>
      </c>
    </row>
    <row r="59" spans="1:6">
      <c r="A59" s="348" t="s">
        <v>49</v>
      </c>
      <c r="B59" s="348" t="s">
        <v>52</v>
      </c>
      <c r="C59" s="334">
        <v>237</v>
      </c>
      <c r="D59" s="334">
        <v>13358768.278623801</v>
      </c>
      <c r="E59" s="334">
        <v>392</v>
      </c>
      <c r="F59" s="334">
        <v>16553490.3852653</v>
      </c>
    </row>
    <row r="60" spans="1:6">
      <c r="A60" s="348" t="s">
        <v>49</v>
      </c>
      <c r="B60" s="348" t="s">
        <v>53</v>
      </c>
      <c r="C60" s="334">
        <v>214</v>
      </c>
      <c r="D60" s="334">
        <v>13486528.252169801</v>
      </c>
      <c r="E60" s="334">
        <v>284</v>
      </c>
      <c r="F60" s="334">
        <v>6338446.0113047501</v>
      </c>
    </row>
    <row r="61" spans="1:6">
      <c r="A61" s="348" t="s">
        <v>49</v>
      </c>
      <c r="B61" s="348" t="s">
        <v>54</v>
      </c>
      <c r="C61" s="334">
        <v>452</v>
      </c>
      <c r="D61" s="334">
        <v>64156790.100234099</v>
      </c>
      <c r="E61" s="334">
        <v>969</v>
      </c>
      <c r="F61" s="334">
        <v>28830661.306575298</v>
      </c>
    </row>
    <row r="62" spans="1:6">
      <c r="A62" s="348" t="s">
        <v>49</v>
      </c>
      <c r="B62" s="348" t="s">
        <v>55</v>
      </c>
      <c r="C62" s="334">
        <v>9</v>
      </c>
      <c r="D62" s="334">
        <v>1311934.2052436899</v>
      </c>
      <c r="E62" s="334">
        <v>11</v>
      </c>
      <c r="F62" s="334">
        <v>98072.012854365603</v>
      </c>
    </row>
    <row r="63" spans="1:6">
      <c r="A63" s="348" t="s">
        <v>49</v>
      </c>
      <c r="B63" s="348" t="s">
        <v>29</v>
      </c>
      <c r="C63" s="334">
        <v>110</v>
      </c>
      <c r="D63" s="334">
        <v>18993729.780040801</v>
      </c>
      <c r="E63" s="334">
        <v>123</v>
      </c>
      <c r="F63" s="334">
        <v>24930396.367488001</v>
      </c>
    </row>
    <row r="64" spans="1:6">
      <c r="A64" s="348" t="s">
        <v>56</v>
      </c>
      <c r="B64" s="348" t="s">
        <v>57</v>
      </c>
      <c r="C64" s="334">
        <v>0</v>
      </c>
      <c r="D64" s="334">
        <v>0</v>
      </c>
      <c r="E64" s="334">
        <v>0</v>
      </c>
      <c r="F64" s="334">
        <v>0</v>
      </c>
    </row>
    <row r="65" spans="1:6">
      <c r="A65" s="348" t="s">
        <v>56</v>
      </c>
      <c r="B65" s="348" t="s">
        <v>29</v>
      </c>
      <c r="C65" s="334">
        <v>5</v>
      </c>
      <c r="D65" s="334">
        <v>393259.60208644503</v>
      </c>
      <c r="E65" s="334">
        <v>2</v>
      </c>
      <c r="F65" s="334">
        <v>59768.449865266499</v>
      </c>
    </row>
    <row r="66" spans="1:6">
      <c r="A66" s="348" t="s">
        <v>56</v>
      </c>
      <c r="B66" s="348" t="s">
        <v>58</v>
      </c>
      <c r="C66" s="334">
        <v>0</v>
      </c>
      <c r="D66" s="334">
        <v>0</v>
      </c>
      <c r="E66" s="334">
        <v>28</v>
      </c>
      <c r="F66" s="334">
        <v>1061988.62012569</v>
      </c>
    </row>
    <row r="67" spans="1:6">
      <c r="A67" s="355" t="s">
        <v>56</v>
      </c>
      <c r="B67" s="355" t="s">
        <v>59</v>
      </c>
      <c r="C67" s="334">
        <v>0</v>
      </c>
      <c r="D67" s="334">
        <v>0</v>
      </c>
      <c r="E67" s="334">
        <v>0</v>
      </c>
      <c r="F67" s="334">
        <v>0</v>
      </c>
    </row>
    <row r="68" spans="1:6">
      <c r="A68" s="341" t="s">
        <v>56</v>
      </c>
      <c r="B68" s="341" t="s">
        <v>60</v>
      </c>
      <c r="C68" s="334">
        <v>11</v>
      </c>
      <c r="D68" s="334">
        <v>746848.102024614</v>
      </c>
      <c r="E68" s="334">
        <v>28</v>
      </c>
      <c r="F68" s="334">
        <v>917801.16103579698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103159632</v>
      </c>
      <c r="E73" s="475">
        <v>127272960.57486093</v>
      </c>
    </row>
    <row r="74" spans="1:6">
      <c r="A74" s="348" t="s">
        <v>64</v>
      </c>
      <c r="B74" s="348" t="s">
        <v>657</v>
      </c>
      <c r="C74" s="1295" t="s">
        <v>659</v>
      </c>
      <c r="D74" s="475">
        <v>6700595.5</v>
      </c>
      <c r="E74" s="475">
        <v>7437740.9300876353</v>
      </c>
    </row>
    <row r="75" spans="1:6">
      <c r="A75" s="348" t="s">
        <v>65</v>
      </c>
      <c r="B75" s="348" t="s">
        <v>656</v>
      </c>
      <c r="C75" s="1295" t="s">
        <v>660</v>
      </c>
      <c r="D75" s="475">
        <v>30973453</v>
      </c>
      <c r="E75" s="475">
        <v>39353212.150128797</v>
      </c>
    </row>
    <row r="76" spans="1:6">
      <c r="A76" s="348" t="s">
        <v>65</v>
      </c>
      <c r="B76" s="348" t="s">
        <v>657</v>
      </c>
      <c r="C76" s="1295" t="s">
        <v>661</v>
      </c>
      <c r="D76" s="475">
        <v>683034.5</v>
      </c>
      <c r="E76" s="475">
        <v>811081.31767586875</v>
      </c>
    </row>
    <row r="77" spans="1:6">
      <c r="A77" s="348" t="s">
        <v>66</v>
      </c>
      <c r="B77" s="348" t="s">
        <v>656</v>
      </c>
      <c r="C77" s="1295" t="s">
        <v>662</v>
      </c>
      <c r="D77" s="475">
        <v>280349387</v>
      </c>
      <c r="E77" s="475">
        <v>304236480.48537856</v>
      </c>
    </row>
    <row r="78" spans="1:6">
      <c r="A78" s="341" t="s">
        <v>66</v>
      </c>
      <c r="B78" s="341" t="s">
        <v>657</v>
      </c>
      <c r="C78" s="341" t="s">
        <v>663</v>
      </c>
      <c r="D78" s="1296">
        <v>33091588</v>
      </c>
      <c r="E78" s="1296">
        <v>33948381.992795698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1270551</v>
      </c>
      <c r="C83" s="475">
        <v>1272279.7999350559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2116.0343880965092</v>
      </c>
    </row>
    <row r="92" spans="1:6">
      <c r="A92" s="341" t="s">
        <v>69</v>
      </c>
      <c r="B92" s="342">
        <v>3425.7272288010822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9</v>
      </c>
      <c r="C123" s="334">
        <v>28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191989.63994318343</v>
      </c>
      <c r="C3" s="43" t="s">
        <v>170</v>
      </c>
      <c r="D3" s="43"/>
      <c r="E3" s="154"/>
      <c r="F3" s="43"/>
      <c r="G3" s="43"/>
      <c r="H3" s="43"/>
      <c r="I3" s="43"/>
      <c r="J3" s="43"/>
      <c r="K3" s="96"/>
    </row>
    <row r="4" spans="1:11">
      <c r="A4" s="383" t="s">
        <v>171</v>
      </c>
      <c r="B4" s="49">
        <f>IF(ISERROR('SEAP template'!B78+'SEAP template'!C78),0,'SEAP template'!B78+'SEAP template'!C78)</f>
        <v>6909.761616897591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325.1011764705882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0.2147394739569308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464.43025210084039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1954.2857142857144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2591.7573489597698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2591.7573489597698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0.2147394739569308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556.5526097396305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51696.948209355767</v>
      </c>
      <c r="C5" s="17">
        <f>IF(ISERROR('Eigen informatie GS &amp; warmtenet'!B57),0,'Eigen informatie GS &amp; warmtenet'!B57)</f>
        <v>0</v>
      </c>
      <c r="D5" s="30">
        <f>(SUM(HH_hh_gas_kWh,HH_rest_gas_kWh)/1000)*0.902</f>
        <v>187248.81015619042</v>
      </c>
      <c r="E5" s="17">
        <f>B46*B57</f>
        <v>2060.4324576380368</v>
      </c>
      <c r="F5" s="17">
        <f>B51*B62</f>
        <v>0</v>
      </c>
      <c r="G5" s="18"/>
      <c r="H5" s="17"/>
      <c r="I5" s="17"/>
      <c r="J5" s="17">
        <f>B50*B61+C50*C61</f>
        <v>0</v>
      </c>
      <c r="K5" s="17"/>
      <c r="L5" s="17"/>
      <c r="M5" s="17"/>
      <c r="N5" s="17">
        <f>B48*B59+C48*C59</f>
        <v>9419.5440949913555</v>
      </c>
      <c r="O5" s="17">
        <f>B69*B70*B71</f>
        <v>146.95333333333335</v>
      </c>
      <c r="P5" s="17">
        <f>B77*B78*B79/1000-B77*B78*B79/1000/B80</f>
        <v>247.86666666666667</v>
      </c>
    </row>
    <row r="6" spans="1:16">
      <c r="A6" s="16" t="s">
        <v>621</v>
      </c>
      <c r="B6" s="788">
        <f>kWh_PV_kleiner_dan_10kW</f>
        <v>2116.0343880965092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53812.982597452276</v>
      </c>
      <c r="C8" s="21">
        <f>C5</f>
        <v>0</v>
      </c>
      <c r="D8" s="21">
        <f>D5</f>
        <v>187248.81015619042</v>
      </c>
      <c r="E8" s="21">
        <f>E5</f>
        <v>2060.4324576380368</v>
      </c>
      <c r="F8" s="21">
        <f>F5</f>
        <v>0</v>
      </c>
      <c r="G8" s="21"/>
      <c r="H8" s="21"/>
      <c r="I8" s="21"/>
      <c r="J8" s="21">
        <f>J5</f>
        <v>0</v>
      </c>
      <c r="K8" s="21"/>
      <c r="L8" s="21">
        <f>L5</f>
        <v>0</v>
      </c>
      <c r="M8" s="21">
        <f>M5</f>
        <v>0</v>
      </c>
      <c r="N8" s="21">
        <f>N5</f>
        <v>9419.5440949913555</v>
      </c>
      <c r="O8" s="21">
        <f>O5</f>
        <v>146.95333333333335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0.2147394739569308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11555.771575030372</v>
      </c>
      <c r="C12" s="23">
        <f ca="1">C10*C8</f>
        <v>0</v>
      </c>
      <c r="D12" s="23">
        <f>D8*D10</f>
        <v>37824.25965155047</v>
      </c>
      <c r="E12" s="23">
        <f>E10*E8</f>
        <v>467.71816788383438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16543</v>
      </c>
      <c r="C28" s="36"/>
      <c r="D28" s="228"/>
    </row>
    <row r="29" spans="1:7" s="15" customFormat="1">
      <c r="A29" s="230" t="s">
        <v>794</v>
      </c>
      <c r="B29" s="37">
        <f>SUM(HH_hh_gas_aantal,HH_rest_gas_aantal)</f>
        <v>14401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14401</v>
      </c>
      <c r="C32" s="167">
        <f>IF(ISERROR(B32/SUM($B$32,$B$34,$B$35,$B$36,$B$38,$B$39)*100),0,B32/SUM($B$32,$B$34,$B$35,$B$36,$B$38,$B$39)*100)</f>
        <v>87.120387174833638</v>
      </c>
      <c r="D32" s="233"/>
      <c r="G32" s="15"/>
    </row>
    <row r="33" spans="1:7">
      <c r="A33" s="171" t="s">
        <v>72</v>
      </c>
      <c r="B33" s="34" t="s">
        <v>111</v>
      </c>
      <c r="C33" s="167"/>
      <c r="D33" s="233"/>
      <c r="G33" s="15"/>
    </row>
    <row r="34" spans="1:7">
      <c r="A34" s="171" t="s">
        <v>73</v>
      </c>
      <c r="B34" s="33">
        <f>IF((($B$28-$B$32-$B$39-$B$77-$B$38)*C20/100)&lt;0,0,($B$28-$B$32-$B$39-$B$77-$B$38)*C20/100)</f>
        <v>97.312151616499449</v>
      </c>
      <c r="C34" s="167">
        <f>IF(ISERROR(B34/SUM($B$32,$B$34,$B$35,$B$36,$B$38,$B$39)*100),0,B34/SUM($B$32,$B$34,$B$35,$B$36,$B$38,$B$39)*100)</f>
        <v>0.58870025176345708</v>
      </c>
      <c r="D34" s="233"/>
      <c r="G34" s="15"/>
    </row>
    <row r="35" spans="1:7">
      <c r="A35" s="171" t="s">
        <v>74</v>
      </c>
      <c r="B35" s="33">
        <f>IF((($B$28-$B$32-$B$39-$B$77-$B$38)*C21/100)&lt;0,0,($B$28-$B$32-$B$39-$B$77-$B$38)*C21/100)</f>
        <v>1901.1471571906354</v>
      </c>
      <c r="C35" s="167">
        <f>IF(ISERROR(B35/SUM($B$32,$B$34,$B$35,$B$36,$B$38,$B$39)*100),0,B35/SUM($B$32,$B$34,$B$35,$B$36,$B$38,$B$39)*100)</f>
        <v>11.501192723476318</v>
      </c>
      <c r="D35" s="233"/>
      <c r="G35" s="15"/>
    </row>
    <row r="36" spans="1:7">
      <c r="A36" s="171" t="s">
        <v>75</v>
      </c>
      <c r="B36" s="33">
        <f>IF((($B$28-$B$32-$B$39-$B$77-$B$38)*C22/100)&lt;0,0,($B$28-$B$32-$B$39-$B$77-$B$38)*C22/100)</f>
        <v>130.5406911928651</v>
      </c>
      <c r="C36" s="167">
        <f>IF(ISERROR(B36/SUM($B$32,$B$34,$B$35,$B$36,$B$38,$B$39)*100),0,B36/SUM($B$32,$B$34,$B$35,$B$36,$B$38,$B$39)*100)</f>
        <v>0.78971984992658872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14401</v>
      </c>
      <c r="C44" s="34" t="s">
        <v>111</v>
      </c>
      <c r="D44" s="174"/>
    </row>
    <row r="45" spans="1:7">
      <c r="A45" s="171" t="s">
        <v>72</v>
      </c>
      <c r="B45" s="33" t="str">
        <f t="shared" si="0"/>
        <v>-</v>
      </c>
      <c r="C45" s="34" t="s">
        <v>111</v>
      </c>
      <c r="D45" s="174"/>
    </row>
    <row r="46" spans="1:7">
      <c r="A46" s="171" t="s">
        <v>73</v>
      </c>
      <c r="B46" s="33">
        <f t="shared" si="0"/>
        <v>97.312151616499449</v>
      </c>
      <c r="C46" s="34" t="s">
        <v>111</v>
      </c>
      <c r="D46" s="174"/>
    </row>
    <row r="47" spans="1:7">
      <c r="A47" s="171" t="s">
        <v>74</v>
      </c>
      <c r="B47" s="33">
        <f t="shared" si="0"/>
        <v>1901.1471571906354</v>
      </c>
      <c r="C47" s="34" t="s">
        <v>111</v>
      </c>
      <c r="D47" s="174"/>
    </row>
    <row r="48" spans="1:7">
      <c r="A48" s="171" t="s">
        <v>75</v>
      </c>
      <c r="B48" s="33">
        <f t="shared" si="0"/>
        <v>130.5406911928651</v>
      </c>
      <c r="C48" s="33">
        <f>B48*10</f>
        <v>1305.406911928651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85448.457793455105</v>
      </c>
      <c r="C5" s="17">
        <f>IF(ISERROR('Eigen informatie GS &amp; warmtenet'!B58),0,'Eigen informatie GS &amp; warmtenet'!B58)</f>
        <v>0</v>
      </c>
      <c r="D5" s="30">
        <f>SUM(D6:D12)</f>
        <v>116308.66299083747</v>
      </c>
      <c r="E5" s="17">
        <f>SUM(E6:E12)</f>
        <v>1005.4585649941266</v>
      </c>
      <c r="F5" s="17">
        <f>SUM(F6:F12)</f>
        <v>14195.085058499168</v>
      </c>
      <c r="G5" s="18"/>
      <c r="H5" s="17"/>
      <c r="I5" s="17"/>
      <c r="J5" s="17">
        <f>SUM(J6:J12)</f>
        <v>0.10860777339696492</v>
      </c>
      <c r="K5" s="17"/>
      <c r="L5" s="17"/>
      <c r="M5" s="17"/>
      <c r="N5" s="17">
        <f>SUM(N6:N12)</f>
        <v>4453.9369988435519</v>
      </c>
      <c r="O5" s="17">
        <f>B38*B39*B40</f>
        <v>0</v>
      </c>
      <c r="P5" s="17">
        <f>B46*B47*B48/1000-B46*B47*B48/1000/B49</f>
        <v>95.333333333333343</v>
      </c>
      <c r="R5" s="32"/>
    </row>
    <row r="6" spans="1:18">
      <c r="A6" s="32" t="s">
        <v>54</v>
      </c>
      <c r="B6" s="37">
        <f>B26</f>
        <v>28830.661306575297</v>
      </c>
      <c r="C6" s="33"/>
      <c r="D6" s="37">
        <f>IF(ISERROR(TER_kantoor_gas_kWh/1000),0,TER_kantoor_gas_kWh/1000)*0.902</f>
        <v>57869.424670411165</v>
      </c>
      <c r="E6" s="33">
        <f>$C$26*'E Balans VL '!I12/100/3.6*1000000</f>
        <v>0.18070099614188748</v>
      </c>
      <c r="F6" s="33">
        <f>$C$26*('E Balans VL '!L12+'E Balans VL '!N12)/100/3.6*1000000</f>
        <v>4332.4427888677337</v>
      </c>
      <c r="G6" s="34"/>
      <c r="H6" s="33"/>
      <c r="I6" s="33"/>
      <c r="J6" s="33">
        <f>$C$26*('E Balans VL '!D12+'E Balans VL '!E12)/100/3.6*1000000</f>
        <v>0</v>
      </c>
      <c r="K6" s="33"/>
      <c r="L6" s="33"/>
      <c r="M6" s="33"/>
      <c r="N6" s="33">
        <f>$C$26*'E Balans VL '!Y12/100/3.6*1000000</f>
        <v>27.572252925086559</v>
      </c>
      <c r="O6" s="33"/>
      <c r="P6" s="33"/>
      <c r="R6" s="32"/>
    </row>
    <row r="7" spans="1:18">
      <c r="A7" s="32" t="s">
        <v>53</v>
      </c>
      <c r="B7" s="37">
        <f t="shared" ref="B7:B12" si="0">B27</f>
        <v>6338.4460113047498</v>
      </c>
      <c r="C7" s="33"/>
      <c r="D7" s="37">
        <f>IF(ISERROR(TER_horeca_gas_kWh/1000),0,TER_horeca_gas_kWh/1000)*0.902</f>
        <v>12164.848483457161</v>
      </c>
      <c r="E7" s="33">
        <f>$C$27*'E Balans VL '!I9/100/3.6*1000000</f>
        <v>90.765491098325626</v>
      </c>
      <c r="F7" s="33">
        <f>$C$27*('E Balans VL '!L9+'E Balans VL '!N9)/100/3.6*1000000</f>
        <v>802.65631503446627</v>
      </c>
      <c r="G7" s="34"/>
      <c r="H7" s="33"/>
      <c r="I7" s="33"/>
      <c r="J7" s="33">
        <f>$C$27*('E Balans VL '!D9+'E Balans VL '!E9)/100/3.6*1000000</f>
        <v>0</v>
      </c>
      <c r="K7" s="33"/>
      <c r="L7" s="33"/>
      <c r="M7" s="33"/>
      <c r="N7" s="33">
        <f>$C$27*'E Balans VL '!Y9/100/3.6*1000000</f>
        <v>1.8221634775117233</v>
      </c>
      <c r="O7" s="33"/>
      <c r="P7" s="33"/>
      <c r="R7" s="32"/>
    </row>
    <row r="8" spans="1:18">
      <c r="A8" s="6" t="s">
        <v>52</v>
      </c>
      <c r="B8" s="37">
        <f t="shared" si="0"/>
        <v>16553.490385265301</v>
      </c>
      <c r="C8" s="33"/>
      <c r="D8" s="37">
        <f>IF(ISERROR(TER_handel_gas_kWh/1000),0,TER_handel_gas_kWh/1000)*0.902</f>
        <v>12049.608987318668</v>
      </c>
      <c r="E8" s="33">
        <f>$C$28*'E Balans VL '!I13/100/3.6*1000000</f>
        <v>600.39305498859073</v>
      </c>
      <c r="F8" s="33">
        <f>$C$28*('E Balans VL '!L13+'E Balans VL '!N13)/100/3.6*1000000</f>
        <v>3188.3698629488604</v>
      </c>
      <c r="G8" s="34"/>
      <c r="H8" s="33"/>
      <c r="I8" s="33"/>
      <c r="J8" s="33">
        <f>$C$28*('E Balans VL '!D13+'E Balans VL '!E13)/100/3.6*1000000</f>
        <v>0</v>
      </c>
      <c r="K8" s="33"/>
      <c r="L8" s="33"/>
      <c r="M8" s="33"/>
      <c r="N8" s="33">
        <f>$C$28*'E Balans VL '!Y13/100/3.6*1000000</f>
        <v>22.930392971863224</v>
      </c>
      <c r="O8" s="33"/>
      <c r="P8" s="33"/>
      <c r="R8" s="32"/>
    </row>
    <row r="9" spans="1:18">
      <c r="A9" s="32" t="s">
        <v>51</v>
      </c>
      <c r="B9" s="37">
        <f t="shared" si="0"/>
        <v>6475.0563460437197</v>
      </c>
      <c r="C9" s="33"/>
      <c r="D9" s="37">
        <f>IF(ISERROR(TER_gezond_gas_kWh/1000),0,TER_gezond_gas_kWh/1000)*0.902</f>
        <v>13299.17848297932</v>
      </c>
      <c r="E9" s="33">
        <f>$C$29*'E Balans VL '!I10/100/3.6*1000000</f>
        <v>0.40540245689419818</v>
      </c>
      <c r="F9" s="33">
        <f>$C$29*('E Balans VL '!L10+'E Balans VL '!N10)/100/3.6*1000000</f>
        <v>961.88933487384247</v>
      </c>
      <c r="G9" s="34"/>
      <c r="H9" s="33"/>
      <c r="I9" s="33"/>
      <c r="J9" s="33">
        <f>$C$29*('E Balans VL '!D10+'E Balans VL '!E10)/100/3.6*1000000</f>
        <v>0</v>
      </c>
      <c r="K9" s="33"/>
      <c r="L9" s="33"/>
      <c r="M9" s="33"/>
      <c r="N9" s="33">
        <f>$C$29*'E Balans VL '!Y10/100/3.6*1000000</f>
        <v>100.15679635013451</v>
      </c>
      <c r="O9" s="33"/>
      <c r="P9" s="33"/>
      <c r="R9" s="32"/>
    </row>
    <row r="10" spans="1:18">
      <c r="A10" s="32" t="s">
        <v>50</v>
      </c>
      <c r="B10" s="37">
        <f t="shared" si="0"/>
        <v>2222.3353639236698</v>
      </c>
      <c r="C10" s="33"/>
      <c r="D10" s="37">
        <f>IF(ISERROR(TER_ander_gas_kWh/1000),0,TER_ander_gas_kWh/1000)*0.902</f>
        <v>2609.8934519445338</v>
      </c>
      <c r="E10" s="33">
        <f>$C$30*'E Balans VL '!I14/100/3.6*1000000</f>
        <v>2.6489443409495212</v>
      </c>
      <c r="F10" s="33">
        <f>$C$30*('E Balans VL '!L14+'E Balans VL '!N14)/100/3.6*1000000</f>
        <v>581.46172847286402</v>
      </c>
      <c r="G10" s="34"/>
      <c r="H10" s="33"/>
      <c r="I10" s="33"/>
      <c r="J10" s="33">
        <f>$C$30*('E Balans VL '!D14+'E Balans VL '!E14)/100/3.6*1000000</f>
        <v>4.8238189436692738E-2</v>
      </c>
      <c r="K10" s="33"/>
      <c r="L10" s="33"/>
      <c r="M10" s="33"/>
      <c r="N10" s="33">
        <f>$C$30*'E Balans VL '!Y14/100/3.6*1000000</f>
        <v>1887.1528112630749</v>
      </c>
      <c r="O10" s="33"/>
      <c r="P10" s="33"/>
      <c r="R10" s="32"/>
    </row>
    <row r="11" spans="1:18">
      <c r="A11" s="32" t="s">
        <v>55</v>
      </c>
      <c r="B11" s="37">
        <f t="shared" si="0"/>
        <v>98.072012854365596</v>
      </c>
      <c r="C11" s="33"/>
      <c r="D11" s="37">
        <f>IF(ISERROR(TER_onderwijs_gas_kWh/1000),0,TER_onderwijs_gas_kWh/1000)*0.902</f>
        <v>1183.3646531298084</v>
      </c>
      <c r="E11" s="33">
        <f>$C$31*'E Balans VL '!I11/100/3.6*1000000</f>
        <v>1.4797487139753067</v>
      </c>
      <c r="F11" s="33">
        <f>$C$31*('E Balans VL '!L11+'E Balans VL '!N11)/100/3.6*1000000</f>
        <v>17.183783399100399</v>
      </c>
      <c r="G11" s="34"/>
      <c r="H11" s="33"/>
      <c r="I11" s="33"/>
      <c r="J11" s="33">
        <f>$C$31*('E Balans VL '!D11+'E Balans VL '!E11)/100/3.6*1000000</f>
        <v>0</v>
      </c>
      <c r="K11" s="33"/>
      <c r="L11" s="33"/>
      <c r="M11" s="33"/>
      <c r="N11" s="33">
        <f>$C$31*'E Balans VL '!Y11/100/3.6*1000000</f>
        <v>0.27598209989052969</v>
      </c>
      <c r="O11" s="33"/>
      <c r="P11" s="33"/>
      <c r="R11" s="32"/>
    </row>
    <row r="12" spans="1:18">
      <c r="A12" s="32" t="s">
        <v>260</v>
      </c>
      <c r="B12" s="37">
        <f t="shared" si="0"/>
        <v>24930.396367488</v>
      </c>
      <c r="C12" s="33"/>
      <c r="D12" s="37">
        <f>IF(ISERROR(TER_rest_gas_kWh/1000),0,TER_rest_gas_kWh/1000)*0.902</f>
        <v>17132.344261596802</v>
      </c>
      <c r="E12" s="33">
        <f>$C$32*'E Balans VL '!I8/100/3.6*1000000</f>
        <v>309.5852223992494</v>
      </c>
      <c r="F12" s="33">
        <f>$C$32*('E Balans VL '!L8+'E Balans VL '!N8)/100/3.6*1000000</f>
        <v>4311.0812449022997</v>
      </c>
      <c r="G12" s="34"/>
      <c r="H12" s="33"/>
      <c r="I12" s="33"/>
      <c r="J12" s="33">
        <f>$C$32*('E Balans VL '!D8+'E Balans VL '!E8)/100/3.6*1000000</f>
        <v>6.0369583960272186E-2</v>
      </c>
      <c r="K12" s="33"/>
      <c r="L12" s="33"/>
      <c r="M12" s="33"/>
      <c r="N12" s="33">
        <f>$C$32*'E Balans VL '!Y8/100/3.6*1000000</f>
        <v>2414.02659975599</v>
      </c>
      <c r="O12" s="33"/>
      <c r="P12" s="33"/>
      <c r="R12" s="32"/>
    </row>
    <row r="13" spans="1:18">
      <c r="A13" s="16" t="s">
        <v>488</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86798.457793455105</v>
      </c>
      <c r="C16" s="21">
        <f t="shared" ca="1" si="1"/>
        <v>1928.5714285714287</v>
      </c>
      <c r="D16" s="21">
        <f t="shared" ca="1" si="1"/>
        <v>112451.52013369462</v>
      </c>
      <c r="E16" s="21">
        <f t="shared" si="1"/>
        <v>1005.4585649941266</v>
      </c>
      <c r="F16" s="21">
        <f t="shared" ca="1" si="1"/>
        <v>14195.085058499168</v>
      </c>
      <c r="G16" s="21">
        <f t="shared" si="1"/>
        <v>0</v>
      </c>
      <c r="H16" s="21">
        <f t="shared" si="1"/>
        <v>0</v>
      </c>
      <c r="I16" s="21">
        <f t="shared" si="1"/>
        <v>0</v>
      </c>
      <c r="J16" s="21">
        <f t="shared" si="1"/>
        <v>0.10860777339696492</v>
      </c>
      <c r="K16" s="21">
        <f t="shared" si="1"/>
        <v>0</v>
      </c>
      <c r="L16" s="21">
        <f t="shared" ca="1" si="1"/>
        <v>0</v>
      </c>
      <c r="M16" s="21">
        <f t="shared" si="1"/>
        <v>0</v>
      </c>
      <c r="N16" s="21">
        <f t="shared" ca="1" si="1"/>
        <v>4453.9369988435519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0.2147394739569308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18639.055166839411</v>
      </c>
      <c r="C20" s="23">
        <f t="shared" ref="C20:P20" ca="1" si="2">C16*C18</f>
        <v>458.31932773109253</v>
      </c>
      <c r="D20" s="23">
        <f t="shared" ca="1" si="2"/>
        <v>22715.207067006315</v>
      </c>
      <c r="E20" s="23">
        <f t="shared" si="2"/>
        <v>228.23909425366676</v>
      </c>
      <c r="F20" s="23">
        <f t="shared" ca="1" si="2"/>
        <v>3790.0877106192779</v>
      </c>
      <c r="G20" s="23">
        <f t="shared" si="2"/>
        <v>0</v>
      </c>
      <c r="H20" s="23">
        <f t="shared" si="2"/>
        <v>0</v>
      </c>
      <c r="I20" s="23">
        <f t="shared" si="2"/>
        <v>0</v>
      </c>
      <c r="J20" s="23">
        <f t="shared" si="2"/>
        <v>3.8447151782525578E-2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28830.661306575297</v>
      </c>
      <c r="C26" s="39">
        <f>IF(ISERROR(B26*3.6/1000000/'E Balans VL '!Z12*100),0,B26*3.6/1000000/'E Balans VL '!Z12*100)</f>
        <v>0.6094345085643772</v>
      </c>
      <c r="D26" s="237" t="s">
        <v>754</v>
      </c>
      <c r="F26" s="6"/>
    </row>
    <row r="27" spans="1:18">
      <c r="A27" s="231" t="s">
        <v>53</v>
      </c>
      <c r="B27" s="33">
        <f>IF(ISERROR(TER_horeca_ele_kWh/1000),0,TER_horeca_ele_kWh/1000)</f>
        <v>6338.4460113047498</v>
      </c>
      <c r="C27" s="39">
        <f>IF(ISERROR(B27*3.6/1000000/'E Balans VL '!Z9*100),0,B27*3.6/1000000/'E Balans VL '!Z9*100)</f>
        <v>0.49965733661171713</v>
      </c>
      <c r="D27" s="237" t="s">
        <v>754</v>
      </c>
      <c r="F27" s="6"/>
    </row>
    <row r="28" spans="1:18">
      <c r="A28" s="171" t="s">
        <v>52</v>
      </c>
      <c r="B28" s="33">
        <f>IF(ISERROR(TER_handel_ele_kWh/1000),0,TER_handel_ele_kWh/1000)</f>
        <v>16553.490385265301</v>
      </c>
      <c r="C28" s="39">
        <f>IF(ISERROR(B28*3.6/1000000/'E Balans VL '!Z13*100),0,B28*3.6/1000000/'E Balans VL '!Z13*100)</f>
        <v>0.48044917457627068</v>
      </c>
      <c r="D28" s="237" t="s">
        <v>754</v>
      </c>
      <c r="F28" s="6"/>
    </row>
    <row r="29" spans="1:18">
      <c r="A29" s="231" t="s">
        <v>51</v>
      </c>
      <c r="B29" s="33">
        <f>IF(ISERROR(TER_gezond_ele_kWh/1000),0,TER_gezond_ele_kWh/1000)</f>
        <v>6475.0563460437197</v>
      </c>
      <c r="C29" s="39">
        <f>IF(ISERROR(B29*3.6/1000000/'E Balans VL '!Z10*100),0,B29*3.6/1000000/'E Balans VL '!Z10*100)</f>
        <v>0.68192975647012799</v>
      </c>
      <c r="D29" s="237" t="s">
        <v>754</v>
      </c>
      <c r="F29" s="6"/>
    </row>
    <row r="30" spans="1:18">
      <c r="A30" s="231" t="s">
        <v>50</v>
      </c>
      <c r="B30" s="33">
        <f>IF(ISERROR(TER_ander_ele_kWh/1000),0,TER_ander_ele_kWh/1000)</f>
        <v>2222.3353639236698</v>
      </c>
      <c r="C30" s="39">
        <f>IF(ISERROR(B30*3.6/1000000/'E Balans VL '!Z14*100),0,B30*3.6/1000000/'E Balans VL '!Z14*100)</f>
        <v>0.16391993913184985</v>
      </c>
      <c r="D30" s="237" t="s">
        <v>754</v>
      </c>
      <c r="F30" s="6"/>
    </row>
    <row r="31" spans="1:18">
      <c r="A31" s="231" t="s">
        <v>55</v>
      </c>
      <c r="B31" s="33">
        <f>IF(ISERROR(TER_onderwijs_ele_kWh/1000),0,TER_onderwijs_ele_kWh/1000)</f>
        <v>98.072012854365596</v>
      </c>
      <c r="C31" s="39">
        <f>IF(ISERROR(B31*3.6/1000000/'E Balans VL '!Z11*100),0,B31*3.6/1000000/'E Balans VL '!Z11*100)</f>
        <v>2.4355874755369055E-2</v>
      </c>
      <c r="D31" s="237" t="s">
        <v>754</v>
      </c>
    </row>
    <row r="32" spans="1:18">
      <c r="A32" s="231" t="s">
        <v>260</v>
      </c>
      <c r="B32" s="33">
        <f>IF(ISERROR(TER_rest_ele_kWh/1000),0,TER_rest_ele_kWh/1000)</f>
        <v>24930.396367488</v>
      </c>
      <c r="C32" s="39">
        <f>IF(ISERROR(B32*3.6/1000000/'E Balans VL '!Z8*100),0,B32*3.6/1000000/'E Balans VL '!Z8*100)</f>
        <v>0.20514407036711083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42798.312884763596</v>
      </c>
      <c r="C5" s="17">
        <f>IF(ISERROR('Eigen informatie GS &amp; warmtenet'!B59),0,'Eigen informatie GS &amp; warmtenet'!B59)</f>
        <v>0</v>
      </c>
      <c r="D5" s="30">
        <f>SUM(D6:D15)</f>
        <v>14518.440556147129</v>
      </c>
      <c r="E5" s="17">
        <f>SUM(E6:E15)</f>
        <v>3076.3789518014455</v>
      </c>
      <c r="F5" s="17">
        <f>SUM(F6:F15)</f>
        <v>10043.464259211531</v>
      </c>
      <c r="G5" s="18"/>
      <c r="H5" s="17"/>
      <c r="I5" s="17"/>
      <c r="J5" s="17">
        <f>SUM(J6:J15)</f>
        <v>115.45214795693771</v>
      </c>
      <c r="K5" s="17"/>
      <c r="L5" s="17"/>
      <c r="M5" s="17"/>
      <c r="N5" s="17">
        <f>SUM(N6:N15)</f>
        <v>8972.6068551999015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620.33619424754795</v>
      </c>
      <c r="C8" s="33"/>
      <c r="D8" s="37">
        <f>IF( ISERROR(IND_metaal_Gas_kWH/1000),0,IND_metaal_Gas_kWH/1000)*0.902</f>
        <v>434.43127107038845</v>
      </c>
      <c r="E8" s="33">
        <f>C30*'E Balans VL '!I18/100/3.6*1000000</f>
        <v>5.7033921797120897</v>
      </c>
      <c r="F8" s="33">
        <f>C30*'E Balans VL '!L18/100/3.6*1000000+C30*'E Balans VL '!N18/100/3.6*1000000</f>
        <v>58.166881937913814</v>
      </c>
      <c r="G8" s="34"/>
      <c r="H8" s="33"/>
      <c r="I8" s="33"/>
      <c r="J8" s="40">
        <f>C30*'E Balans VL '!D18/100/3.6*1000000+C30*'E Balans VL '!E18/100/3.6*1000000</f>
        <v>0</v>
      </c>
      <c r="K8" s="33"/>
      <c r="L8" s="33"/>
      <c r="M8" s="33"/>
      <c r="N8" s="33">
        <f>C30*'E Balans VL '!Y18/100/3.6*1000000</f>
        <v>8.8501209596723545</v>
      </c>
      <c r="O8" s="33"/>
      <c r="P8" s="33"/>
      <c r="R8" s="32"/>
    </row>
    <row r="9" spans="1:18">
      <c r="A9" s="6" t="s">
        <v>33</v>
      </c>
      <c r="B9" s="37">
        <f t="shared" si="0"/>
        <v>4367.3117888037805</v>
      </c>
      <c r="C9" s="33"/>
      <c r="D9" s="37">
        <f>IF( ISERROR(IND_andere_gas_kWh/1000),0,IND_andere_gas_kWh/1000)*0.902</f>
        <v>3560.7046769879039</v>
      </c>
      <c r="E9" s="33">
        <f>C31*'E Balans VL '!I19/100/3.6*1000000</f>
        <v>1276.6502573996411</v>
      </c>
      <c r="F9" s="33">
        <f>C31*'E Balans VL '!L19/100/3.6*1000000+C31*'E Balans VL '!N19/100/3.6*1000000</f>
        <v>3509.4655974310494</v>
      </c>
      <c r="G9" s="34"/>
      <c r="H9" s="33"/>
      <c r="I9" s="33"/>
      <c r="J9" s="40">
        <f>C31*'E Balans VL '!D19/100/3.6*1000000+C31*'E Balans VL '!E19/100/3.6*1000000</f>
        <v>0</v>
      </c>
      <c r="K9" s="33"/>
      <c r="L9" s="33"/>
      <c r="M9" s="33"/>
      <c r="N9" s="33">
        <f>C31*'E Balans VL '!Y19/100/3.6*1000000</f>
        <v>1443.0275472243961</v>
      </c>
      <c r="O9" s="33"/>
      <c r="P9" s="33"/>
      <c r="R9" s="32"/>
    </row>
    <row r="10" spans="1:18">
      <c r="A10" s="6" t="s">
        <v>41</v>
      </c>
      <c r="B10" s="37">
        <f t="shared" si="0"/>
        <v>536.71325902094293</v>
      </c>
      <c r="C10" s="33"/>
      <c r="D10" s="37">
        <f>IF( ISERROR(IND_voed_gas_kWh/1000),0,IND_voed_gas_kWh/1000)*0.902</f>
        <v>330.93318981202384</v>
      </c>
      <c r="E10" s="33">
        <f>C32*'E Balans VL '!I20/100/3.6*1000000</f>
        <v>1.1354252212964484</v>
      </c>
      <c r="F10" s="33">
        <f>C32*'E Balans VL '!L20/100/3.6*1000000+C32*'E Balans VL '!N20/100/3.6*1000000</f>
        <v>34.124777245068849</v>
      </c>
      <c r="G10" s="34"/>
      <c r="H10" s="33"/>
      <c r="I10" s="33"/>
      <c r="J10" s="40">
        <f>C32*'E Balans VL '!D20/100/3.6*1000000+C32*'E Balans VL '!E20/100/3.6*1000000</f>
        <v>0</v>
      </c>
      <c r="K10" s="33"/>
      <c r="L10" s="33"/>
      <c r="M10" s="33"/>
      <c r="N10" s="33">
        <f>C32*'E Balans VL '!Y20/100/3.6*1000000</f>
        <v>37.038511288300782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47.792988598217804</v>
      </c>
      <c r="C13" s="33"/>
      <c r="D13" s="37">
        <f>IF( ISERROR(IND_papier_gas_kWh/1000),0,IND_papier_gas_kWh/1000)*0.902</f>
        <v>105.95252495020812</v>
      </c>
      <c r="E13" s="33">
        <f>C35*'E Balans VL '!I23/100/3.6*1000000</f>
        <v>6.7807320649229355E-2</v>
      </c>
      <c r="F13" s="33">
        <f>C35*'E Balans VL '!L23/100/3.6*1000000+C35*'E Balans VL '!N23/100/3.6*1000000</f>
        <v>1.16680656490653</v>
      </c>
      <c r="G13" s="34"/>
      <c r="H13" s="33"/>
      <c r="I13" s="33"/>
      <c r="J13" s="40">
        <f>C35*'E Balans VL '!D23/100/3.6*1000000+C35*'E Balans VL '!E23/100/3.6*1000000</f>
        <v>7.3916343946344625E-3</v>
      </c>
      <c r="K13" s="33"/>
      <c r="L13" s="33"/>
      <c r="M13" s="33"/>
      <c r="N13" s="33">
        <f>C35*'E Balans VL '!Y23/100/3.6*1000000</f>
        <v>138.92290447754098</v>
      </c>
      <c r="O13" s="33"/>
      <c r="P13" s="33"/>
      <c r="R13" s="32"/>
    </row>
    <row r="14" spans="1:18">
      <c r="A14" s="6" t="s">
        <v>34</v>
      </c>
      <c r="B14" s="37">
        <f t="shared" si="0"/>
        <v>4978.84873080121</v>
      </c>
      <c r="C14" s="33"/>
      <c r="D14" s="37">
        <f>IF( ISERROR(IND_chemie_gas_kWh/1000),0,IND_chemie_gas_kWh/1000)*0.902</f>
        <v>5394.5835178403395</v>
      </c>
      <c r="E14" s="33">
        <f>C36*'E Balans VL '!I24/100/3.6*1000000</f>
        <v>12.256499041439202</v>
      </c>
      <c r="F14" s="33">
        <f>C36*'E Balans VL '!L24/100/3.6*1000000+C36*'E Balans VL '!N24/100/3.6*1000000</f>
        <v>53.313278697000342</v>
      </c>
      <c r="G14" s="34"/>
      <c r="H14" s="33"/>
      <c r="I14" s="33"/>
      <c r="J14" s="40">
        <f>C36*'E Balans VL '!D24/100/3.6*1000000+C36*'E Balans VL '!E24/100/3.6*1000000</f>
        <v>0</v>
      </c>
      <c r="K14" s="33"/>
      <c r="L14" s="33"/>
      <c r="M14" s="33"/>
      <c r="N14" s="33">
        <f>C36*'E Balans VL '!Y24/100/3.6*1000000</f>
        <v>111.18998256247809</v>
      </c>
      <c r="O14" s="33"/>
      <c r="P14" s="33"/>
      <c r="R14" s="32"/>
    </row>
    <row r="15" spans="1:18">
      <c r="A15" s="6" t="s">
        <v>270</v>
      </c>
      <c r="B15" s="37">
        <f t="shared" si="0"/>
        <v>32247.309923291898</v>
      </c>
      <c r="C15" s="33"/>
      <c r="D15" s="37">
        <f>IF( ISERROR(IND_rest_gas_kWh/1000),0,IND_rest_gas_kWh/1000)*0.902</f>
        <v>4691.8353754862665</v>
      </c>
      <c r="E15" s="33">
        <f>C37*'E Balans VL '!I15/100/3.6*1000000</f>
        <v>1780.5655706387074</v>
      </c>
      <c r="F15" s="33">
        <f>C37*'E Balans VL '!L15/100/3.6*1000000+C37*'E Balans VL '!N15/100/3.6*1000000</f>
        <v>6387.2269173355908</v>
      </c>
      <c r="G15" s="34"/>
      <c r="H15" s="33"/>
      <c r="I15" s="33"/>
      <c r="J15" s="40">
        <f>C37*'E Balans VL '!D15/100/3.6*1000000+C37*'E Balans VL '!E15/100/3.6*1000000</f>
        <v>115.44475632254307</v>
      </c>
      <c r="K15" s="33"/>
      <c r="L15" s="33"/>
      <c r="M15" s="33"/>
      <c r="N15" s="33">
        <f>C37*'E Balans VL '!Y15/100/3.6*1000000</f>
        <v>7233.5777886875139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42798.312884763596</v>
      </c>
      <c r="C18" s="21">
        <f>C5+C16</f>
        <v>0</v>
      </c>
      <c r="D18" s="21">
        <f>MAX((D5+D16),0)</f>
        <v>14518.440556147129</v>
      </c>
      <c r="E18" s="21">
        <f>MAX((E5+E16),0)</f>
        <v>3076.3789518014455</v>
      </c>
      <c r="F18" s="21">
        <f>MAX((F5+F16),0)</f>
        <v>10043.464259211531</v>
      </c>
      <c r="G18" s="21"/>
      <c r="H18" s="21"/>
      <c r="I18" s="21"/>
      <c r="J18" s="21">
        <f>MAX((J5+J16),0)</f>
        <v>115.45214795693771</v>
      </c>
      <c r="K18" s="21"/>
      <c r="L18" s="21">
        <f>MAX((L5+L16),0)</f>
        <v>0</v>
      </c>
      <c r="M18" s="21"/>
      <c r="N18" s="21">
        <f>MAX((N5+N16),0)</f>
        <v>8972.6068551999015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0.2147394739569308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9190.4871951182686</v>
      </c>
      <c r="C22" s="23">
        <f ca="1">C18*C20</f>
        <v>0</v>
      </c>
      <c r="D22" s="23">
        <f>D18*D20</f>
        <v>2932.7249923417203</v>
      </c>
      <c r="E22" s="23">
        <f>E18*E20</f>
        <v>698.33802205892812</v>
      </c>
      <c r="F22" s="23">
        <f>F18*F20</f>
        <v>2681.6049572094789</v>
      </c>
      <c r="G22" s="23"/>
      <c r="H22" s="23"/>
      <c r="I22" s="23"/>
      <c r="J22" s="23">
        <f>J18*J20</f>
        <v>40.870060376755944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620.33619424754795</v>
      </c>
      <c r="C30" s="39">
        <f>IF(ISERROR(B30*3.6/1000000/'E Balans VL '!Z18*100),0,B30*3.6/1000000/'E Balans VL '!Z18*100)</f>
        <v>3.5156042774046548E-2</v>
      </c>
      <c r="D30" s="237" t="s">
        <v>754</v>
      </c>
    </row>
    <row r="31" spans="1:18">
      <c r="A31" s="6" t="s">
        <v>33</v>
      </c>
      <c r="B31" s="37">
        <f>IF( ISERROR(IND_ander_ele_kWh/1000),0,IND_ander_ele_kWh/1000)</f>
        <v>4367.3117888037805</v>
      </c>
      <c r="C31" s="39">
        <f>IF(ISERROR(B31*3.6/1000000/'E Balans VL '!Z19*100),0,B31*3.6/1000000/'E Balans VL '!Z19*100)</f>
        <v>0.1980830775703582</v>
      </c>
      <c r="D31" s="237" t="s">
        <v>754</v>
      </c>
    </row>
    <row r="32" spans="1:18">
      <c r="A32" s="171" t="s">
        <v>41</v>
      </c>
      <c r="B32" s="37">
        <f>IF( ISERROR(IND_voed_ele_kWh/1000),0,IND_voed_ele_kWh/1000)</f>
        <v>536.71325902094293</v>
      </c>
      <c r="C32" s="39">
        <f>IF(ISERROR(B32*3.6/1000000/'E Balans VL '!Z20*100),0,B32*3.6/1000000/'E Balans VL '!Z20*100)</f>
        <v>1.6602977573988962E-2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47.792988598217804</v>
      </c>
      <c r="C35" s="39">
        <f>IF(ISERROR(B35*3.6/1000000/'E Balans VL '!Z22*100),0,B35*3.6/1000000/'E Balans VL '!Z22*100)</f>
        <v>8.5964675247482691E-3</v>
      </c>
      <c r="D35" s="237" t="s">
        <v>754</v>
      </c>
    </row>
    <row r="36" spans="1:5">
      <c r="A36" s="171" t="s">
        <v>34</v>
      </c>
      <c r="B36" s="37">
        <f>IF( ISERROR(IND_chemie_ele_kWh/1000),0,IND_chemie_ele_kWh/1000)</f>
        <v>4978.84873080121</v>
      </c>
      <c r="C36" s="39">
        <f>IF(ISERROR(B36*3.6/1000000/'E Balans VL '!Z24*100),0,B36*3.6/1000000/'E Balans VL '!Z24*100)</f>
        <v>0.15182513701030206</v>
      </c>
      <c r="D36" s="237" t="s">
        <v>754</v>
      </c>
    </row>
    <row r="37" spans="1:5">
      <c r="A37" s="171" t="s">
        <v>270</v>
      </c>
      <c r="B37" s="37">
        <f>IF( ISERROR(IND_rest_ele_kWh/1000),0,IND_rest_ele_kWh/1000)</f>
        <v>32247.309923291898</v>
      </c>
      <c r="C37" s="39">
        <f>IF(ISERROR(B37*3.6/1000000/'E Balans VL '!Z15*100),0,B37*3.6/1000000/'E Balans VL '!Z15*100)</f>
        <v>0.25559953460515406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30.853643813285899</v>
      </c>
      <c r="C5" s="17">
        <f>'Eigen informatie GS &amp; warmtenet'!B60</f>
        <v>0</v>
      </c>
      <c r="D5" s="30">
        <f>IF(ISERROR(SUM(LB_lb_gas_kWh,LB_rest_gas_kWh)/1000),0,SUM(LB_lb_gas_kWh,LB_rest_gas_kWh)/1000)*0.902</f>
        <v>18.763190147780005</v>
      </c>
      <c r="E5" s="17">
        <f>B17*'E Balans VL '!I25/3.6*1000000/100</f>
        <v>0.90688282957775868</v>
      </c>
      <c r="F5" s="17">
        <f>B17*('E Balans VL '!L25/3.6*1000000+'E Balans VL '!N25/3.6*1000000)/100</f>
        <v>128.53461288274713</v>
      </c>
      <c r="G5" s="18"/>
      <c r="H5" s="17"/>
      <c r="I5" s="17"/>
      <c r="J5" s="17">
        <f>('E Balans VL '!D25+'E Balans VL '!E25)/3.6*1000000*landbouw!B17/100</f>
        <v>4.4700303989596479</v>
      </c>
      <c r="K5" s="17"/>
      <c r="L5" s="17">
        <f>L6*(-1)</f>
        <v>0</v>
      </c>
      <c r="M5" s="17"/>
      <c r="N5" s="17">
        <f>N6*(-1)</f>
        <v>0</v>
      </c>
      <c r="O5" s="17"/>
      <c r="P5" s="17"/>
      <c r="R5" s="32"/>
    </row>
    <row r="6" spans="1:18">
      <c r="A6" s="16" t="s">
        <v>488</v>
      </c>
      <c r="B6" s="17" t="s">
        <v>211</v>
      </c>
      <c r="C6" s="17">
        <f>'lokale energieproductie'!O92+'lokale energieproductie'!O61</f>
        <v>25.714285714285715</v>
      </c>
      <c r="D6" s="310">
        <f>('lokale energieproductie'!P61+'lokale energieproductie'!P92)*(-1)</f>
        <v>-51.428571428571431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30.853643813285899</v>
      </c>
      <c r="C8" s="21">
        <f>C5+C6</f>
        <v>25.714285714285715</v>
      </c>
      <c r="D8" s="21">
        <f>MAX((D5+D6),0)</f>
        <v>0</v>
      </c>
      <c r="E8" s="21">
        <f>MAX((E5+E6),0)</f>
        <v>0.90688282957775868</v>
      </c>
      <c r="F8" s="21">
        <f>MAX((F5+F6),0)</f>
        <v>128.53461288274713</v>
      </c>
      <c r="G8" s="21"/>
      <c r="H8" s="21"/>
      <c r="I8" s="21"/>
      <c r="J8" s="21">
        <f>MAX((J5+J6),0)</f>
        <v>4.4700303989596479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0.2147394739569308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6.6254952421195261</v>
      </c>
      <c r="C12" s="23">
        <f ca="1">C8*C10</f>
        <v>6.1109243697478997</v>
      </c>
      <c r="D12" s="23">
        <f>D8*D10</f>
        <v>0</v>
      </c>
      <c r="E12" s="23">
        <f>E8*E10</f>
        <v>0.20586240231415123</v>
      </c>
      <c r="F12" s="23">
        <f>F8*F10</f>
        <v>34.318741639693485</v>
      </c>
      <c r="G12" s="23"/>
      <c r="H12" s="23"/>
      <c r="I12" s="23"/>
      <c r="J12" s="23">
        <f>J8*J10</f>
        <v>1.5823907612317152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4.3782288574606238E-3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3.5208696558662069</v>
      </c>
      <c r="C26" s="247">
        <f>B26*'GWP N2O_CH4'!B5</f>
        <v>73.938262773190345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0.21356046714258786</v>
      </c>
      <c r="C27" s="247">
        <f>B27*'GWP N2O_CH4'!B5</f>
        <v>4.4847698099943454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3.9357519912277809E-2</v>
      </c>
      <c r="C28" s="247">
        <f>B28*'GWP N2O_CH4'!B4</f>
        <v>12.200831172806121</v>
      </c>
      <c r="D28" s="50"/>
    </row>
    <row r="29" spans="1:4">
      <c r="A29" s="41" t="s">
        <v>277</v>
      </c>
      <c r="B29" s="247">
        <f>B34*'ha_N2O bodem landbouw'!B4</f>
        <v>2.6623535655498771</v>
      </c>
      <c r="C29" s="247">
        <f>B29*'GWP N2O_CH4'!B4</f>
        <v>825.32960532046195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6.0753990877993156E-4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5.8701160029721474E-4</v>
      </c>
      <c r="C5" s="463" t="s">
        <v>211</v>
      </c>
      <c r="D5" s="448">
        <f>SUM(D6:D11)</f>
        <v>1.9178963514321448E-3</v>
      </c>
      <c r="E5" s="448">
        <f>SUM(E6:E11)</f>
        <v>3.014106536285571E-3</v>
      </c>
      <c r="F5" s="461" t="s">
        <v>211</v>
      </c>
      <c r="G5" s="448">
        <f>SUM(G6:G11)</f>
        <v>1.0816918341785042</v>
      </c>
      <c r="H5" s="448">
        <f>SUM(H6:H11)</f>
        <v>0.22341379984406287</v>
      </c>
      <c r="I5" s="463" t="s">
        <v>211</v>
      </c>
      <c r="J5" s="463" t="s">
        <v>211</v>
      </c>
      <c r="K5" s="463" t="s">
        <v>211</v>
      </c>
      <c r="L5" s="463" t="s">
        <v>211</v>
      </c>
      <c r="M5" s="448">
        <f>SUM(M6:M11)</f>
        <v>6.9789194210271646E-2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1.4610002776279467E-4</v>
      </c>
      <c r="C6" s="449"/>
      <c r="D6" s="892">
        <f>vkm_2011_GW_PW*SUMIFS(TableVerdeelsleutelVkm[CNG],TableVerdeelsleutelVkm[Voertuigtype],"Lichte voertuigen")*SUMIFS(TableECFTransport[EnergieConsumptieFactor (PJ per km)],TableECFTransport[Index],CONCATENATE($A6,"_CNG_CNG"))</f>
        <v>4.3821622949987153E-4</v>
      </c>
      <c r="E6" s="892">
        <f>vkm_2011_GW_PW*SUMIFS(TableVerdeelsleutelVkm[LPG],TableVerdeelsleutelVkm[Voertuigtype],"Lichte voertuigen")*SUMIFS(TableECFTransport[EnergieConsumptieFactor (PJ per km)],TableECFTransport[Index],CONCATENATE($A6,"_LPG_LPG"))</f>
        <v>5.9866631615603883E-4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0.1547876660674766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4.984205375487484E-2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1.0513724850474741E-2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6.2878717088048264E-2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1.9164155266413653E-5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3.6744200858755188E-3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4.3866212543387278E-5</v>
      </c>
      <c r="C8" s="449"/>
      <c r="D8" s="451">
        <f>vkm_2011_NGW_PW*SUMIFS(TableVerdeelsleutelVkm[CNG],TableVerdeelsleutelVkm[Voertuigtype],"Lichte voertuigen")*SUMIFS(TableECFTransport[EnergieConsumptieFactor (PJ per km)],TableECFTransport[Index],CONCATENATE($A8,"_CNG_CNG"))</f>
        <v>2.3393908708319001E-4</v>
      </c>
      <c r="E8" s="451">
        <f>vkm_2011_NGW_PW*SUMIFS(TableVerdeelsleutelVkm[LPG],TableVerdeelsleutelVkm[Voertuigtype],"Lichte voertuigen")*SUMIFS(TableECFTransport[EnergieConsumptieFactor (PJ per km)],TableECFTransport[Index],CONCATENATE($A8,"_LPG_LPG"))</f>
        <v>2.9598067689721747E-4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7.1315099476136457E-2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2.5857030823256435E-2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4.9292992291703995E-3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8.2187067507813617E-3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2.3581419553672665E-6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4.8026916641670222E-4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3.9704535999103276E-4</v>
      </c>
      <c r="C10" s="449"/>
      <c r="D10" s="451">
        <f>vkm_2011_SW_PW*SUMIFS(TableVerdeelsleutelVkm[CNG],TableVerdeelsleutelVkm[Voertuigtype],"Lichte voertuigen")*SUMIFS(TableECFTransport[EnergieConsumptieFactor (PJ per km)],TableECFTransport[Index],CONCATENATE($A10,"_CNG_CNG"))</f>
        <v>1.2457410348490833E-3</v>
      </c>
      <c r="E10" s="451">
        <f>vkm_2011_SW_PW*SUMIFS(TableVerdeelsleutelVkm[LPG],TableVerdeelsleutelVkm[Voertuigtype],"Lichte voertuigen")*SUMIFS(TableECFTransport[EnergieConsumptieFactor (PJ per km)],TableECFTransport[Index],CONCATENATE($A10,"_LPG_LPG"))</f>
        <v>2.1194595432323148E-3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0.48854022676942205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0.14759578691229791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3.2896865984314155E-2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0.2959514180266396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9.7406056411907178E-5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1.7294614894020129E-2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163.05877786033741</v>
      </c>
      <c r="C14" s="21"/>
      <c r="D14" s="21">
        <f t="shared" ref="D14:M14" si="0">((D5)*10^9/3600)+D12</f>
        <v>532.74898650892908</v>
      </c>
      <c r="E14" s="21">
        <f t="shared" si="0"/>
        <v>837.25181563488081</v>
      </c>
      <c r="F14" s="21"/>
      <c r="G14" s="21">
        <f t="shared" si="0"/>
        <v>300469.95393847342</v>
      </c>
      <c r="H14" s="21">
        <f t="shared" si="0"/>
        <v>62059.388845573019</v>
      </c>
      <c r="I14" s="21"/>
      <c r="J14" s="21"/>
      <c r="K14" s="21"/>
      <c r="L14" s="21"/>
      <c r="M14" s="21">
        <f t="shared" si="0"/>
        <v>19385.88728063101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0.2147394739569308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35.015156181788889</v>
      </c>
      <c r="C18" s="23"/>
      <c r="D18" s="23">
        <f t="shared" ref="D18:M18" si="1">D14*D16</f>
        <v>107.61529527480369</v>
      </c>
      <c r="E18" s="23">
        <f t="shared" si="1"/>
        <v>190.05616214911794</v>
      </c>
      <c r="F18" s="23"/>
      <c r="G18" s="23">
        <f t="shared" si="1"/>
        <v>80225.47770157241</v>
      </c>
      <c r="H18" s="23">
        <f t="shared" si="1"/>
        <v>15452.787822547682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1.5958319832204613E-2</v>
      </c>
      <c r="H50" s="321">
        <f t="shared" si="2"/>
        <v>0</v>
      </c>
      <c r="I50" s="321">
        <f t="shared" si="2"/>
        <v>0</v>
      </c>
      <c r="J50" s="321">
        <f t="shared" si="2"/>
        <v>0</v>
      </c>
      <c r="K50" s="321">
        <f t="shared" si="2"/>
        <v>0</v>
      </c>
      <c r="L50" s="321">
        <f t="shared" si="2"/>
        <v>0</v>
      </c>
      <c r="M50" s="321">
        <f t="shared" si="2"/>
        <v>9.0636211724735329E-4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1.5958319832204613E-2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9.0636211724735329E-4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4432.8666200568368</v>
      </c>
      <c r="H54" s="21">
        <f t="shared" si="3"/>
        <v>0</v>
      </c>
      <c r="I54" s="21">
        <f t="shared" si="3"/>
        <v>0</v>
      </c>
      <c r="J54" s="21">
        <f t="shared" si="3"/>
        <v>0</v>
      </c>
      <c r="K54" s="21">
        <f t="shared" si="3"/>
        <v>0</v>
      </c>
      <c r="L54" s="21">
        <f t="shared" si="3"/>
        <v>0</v>
      </c>
      <c r="M54" s="21">
        <f t="shared" si="3"/>
        <v>251.76725479093147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0.2147394739569308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1183.5753875551754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5541.761616897591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1368</v>
      </c>
      <c r="C8" s="570">
        <f>B101</f>
        <v>1609.4117647058822</v>
      </c>
      <c r="D8" s="1044"/>
      <c r="E8" s="1044">
        <f>E101</f>
        <v>0</v>
      </c>
      <c r="F8" s="1045"/>
      <c r="G8" s="571"/>
      <c r="H8" s="1044">
        <f>I101</f>
        <v>0</v>
      </c>
      <c r="I8" s="1044">
        <f>G101+F101</f>
        <v>0</v>
      </c>
      <c r="J8" s="1044">
        <f>H101+D101+C101</f>
        <v>0</v>
      </c>
      <c r="K8" s="1044"/>
      <c r="L8" s="1044"/>
      <c r="M8" s="1044"/>
      <c r="N8" s="572"/>
      <c r="O8" s="573">
        <f>C8*$C$12+D8*$D$12+E8*$E$12+F8*$F$12+G8*$G$12+H8*$H$12+I8*$I$12+J8*$J$12</f>
        <v>325.1011764705882</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6909.761616897591</v>
      </c>
      <c r="C10" s="583">
        <f t="shared" ref="C10:L10" si="0">SUM(C8:C9)</f>
        <v>1609.4117647058822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325.1011764705882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1954.2857142857144</v>
      </c>
      <c r="C17" s="595">
        <f>B102</f>
        <v>2299.1596638655465</v>
      </c>
      <c r="D17" s="596"/>
      <c r="E17" s="596">
        <f>E102</f>
        <v>0</v>
      </c>
      <c r="F17" s="1050"/>
      <c r="G17" s="597"/>
      <c r="H17" s="595">
        <f>I102</f>
        <v>0</v>
      </c>
      <c r="I17" s="596">
        <f>G102+F102</f>
        <v>0</v>
      </c>
      <c r="J17" s="596">
        <f>H102+D102+C102</f>
        <v>0</v>
      </c>
      <c r="K17" s="596"/>
      <c r="L17" s="596"/>
      <c r="M17" s="596"/>
      <c r="N17" s="1051"/>
      <c r="O17" s="598">
        <f>C17*$C$22+E17*$E$22+H17*$H$22+I17*$I$22+J17*$J$22+D17*$D$22+F17*$F$22+G17*$G$22+K17*$K$22+L17*$L$22</f>
        <v>464.43025210084039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1954.2857142857144</v>
      </c>
      <c r="C20" s="582">
        <f>SUM(C17:C19)</f>
        <v>2299.1596638655465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464.43025210084039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23088</v>
      </c>
      <c r="C28" s="796">
        <v>1800</v>
      </c>
      <c r="D28" s="653" t="s">
        <v>881</v>
      </c>
      <c r="E28" s="652" t="s">
        <v>882</v>
      </c>
      <c r="F28" s="652" t="s">
        <v>883</v>
      </c>
      <c r="G28" s="652" t="s">
        <v>884</v>
      </c>
      <c r="H28" s="652" t="s">
        <v>885</v>
      </c>
      <c r="I28" s="652" t="s">
        <v>886</v>
      </c>
      <c r="J28" s="795">
        <v>38307</v>
      </c>
      <c r="K28" s="795">
        <v>38473</v>
      </c>
      <c r="L28" s="652" t="s">
        <v>887</v>
      </c>
      <c r="M28" s="652">
        <v>300</v>
      </c>
      <c r="N28" s="652">
        <v>1350</v>
      </c>
      <c r="O28" s="652">
        <v>1928.5714285714287</v>
      </c>
      <c r="P28" s="652">
        <v>3857.1428571428573</v>
      </c>
      <c r="Q28" s="652">
        <v>0</v>
      </c>
      <c r="R28" s="652">
        <v>0</v>
      </c>
      <c r="S28" s="652">
        <v>0</v>
      </c>
      <c r="T28" s="652">
        <v>0</v>
      </c>
      <c r="U28" s="652">
        <v>0</v>
      </c>
      <c r="V28" s="652">
        <v>0</v>
      </c>
      <c r="W28" s="652">
        <v>0</v>
      </c>
      <c r="X28" s="652">
        <v>1300</v>
      </c>
      <c r="Y28" s="652" t="s">
        <v>54</v>
      </c>
      <c r="Z28" s="654" t="s">
        <v>156</v>
      </c>
    </row>
    <row r="29" spans="1:26" s="606" customFormat="1" ht="25.5">
      <c r="A29" s="605"/>
      <c r="B29" s="796">
        <v>23088</v>
      </c>
      <c r="C29" s="796">
        <v>1800</v>
      </c>
      <c r="D29" s="653" t="s">
        <v>888</v>
      </c>
      <c r="E29" s="652" t="s">
        <v>889</v>
      </c>
      <c r="F29" s="652" t="s">
        <v>890</v>
      </c>
      <c r="G29" s="652" t="s">
        <v>884</v>
      </c>
      <c r="H29" s="652" t="s">
        <v>885</v>
      </c>
      <c r="I29" s="652" t="s">
        <v>889</v>
      </c>
      <c r="J29" s="795">
        <v>41262</v>
      </c>
      <c r="K29" s="795">
        <v>41262</v>
      </c>
      <c r="L29" s="652" t="s">
        <v>887</v>
      </c>
      <c r="M29" s="652">
        <v>4</v>
      </c>
      <c r="N29" s="652">
        <v>18</v>
      </c>
      <c r="O29" s="652">
        <v>25.714285714285715</v>
      </c>
      <c r="P29" s="652">
        <v>51.428571428571431</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304</v>
      </c>
      <c r="N58" s="610">
        <f>SUM(N28:N57)</f>
        <v>1368</v>
      </c>
      <c r="O58" s="610">
        <f t="shared" ref="O58:W58" si="2">SUM(O28:O57)</f>
        <v>1954.2857142857144</v>
      </c>
      <c r="P58" s="610">
        <f t="shared" si="2"/>
        <v>3908.5714285714289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300</v>
      </c>
      <c r="N60" s="610">
        <f ca="1">SUMIF($Z$28:AD57,"tertiair",N28:N57)</f>
        <v>1350</v>
      </c>
      <c r="O60" s="610">
        <f ca="1">SUMIF($Z$28:AE57,"tertiair",O28:O57)</f>
        <v>1928.5714285714287</v>
      </c>
      <c r="P60" s="610">
        <f ca="1">SUMIF($Z$28:AF57,"tertiair",P28:P57)</f>
        <v>3857.1428571428573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v>
      </c>
      <c r="N61" s="615">
        <f t="shared" si="4"/>
        <v>18</v>
      </c>
      <c r="O61" s="615">
        <f t="shared" si="4"/>
        <v>25.714285714285715</v>
      </c>
      <c r="P61" s="615">
        <f t="shared" si="4"/>
        <v>51.428571428571431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1609.4117647058822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2299.1596638655465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2019-08-12T08:32:26Z</dcterms:modified>
</cp:coreProperties>
</file>