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<sst xmlns="http://schemas.openxmlformats.org/spreadsheetml/2006/main" count="2383" uniqueCount="881">
  <si>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</si>
  <si>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</si>
  <si>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</si>
  <si>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</si>
  <si>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</si>
  <si>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</si>
  <si>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</si>
  <si>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</si>
  <si>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</si>
  <si>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</si>
  <si>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</si>
  <si>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</si>
  <si>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</si>
  <si>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</si>
  <si>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</si>
  <si>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</si>
  <si>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</si>
  <si>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</si>
  <si>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</si>
  <si>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</si>
  <si>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</si>
  <si>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</si>
  <si>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</si>
  <si>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</si>
  <si>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</si>
  <si>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</si>
  <si>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</si>
  <si>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</si>
  <si>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</si>
  <si>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</si>
  <si>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</si>
  <si>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</si>
  <si>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</si>
  <si>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</si>
  <si>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</si>
  <si>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</si>
  <si>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</si>
  <si>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</si>
  <si>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</si>
  <si>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</si>
  <si>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</si>
  <si>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</si>
  <si>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</si>
  <si>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</si>
  <si>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</si>
  <si>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</si>
  <si>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</si>
  <si>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</si>
  <si>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</si>
  <si>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</si>
  <si>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</si>
  <si>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</si>
  <si>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</si>
  <si>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</si>
  <si>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</si>
  <si>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</si>
  <si>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</si>
  <si>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</si>
  <si>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</si>
  <si>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</si>
  <si>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</si>
  <si>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</si>
  <si>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</si>
  <si>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</si>
  <si>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</si>
  <si>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</si>
  <si>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</si>
  <si>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</si>
  <si>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</si>
  <si>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</si>
  <si>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</si>
  <si>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</si>
  <si>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</si>
  <si>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</si>
  <si>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</si>
  <si>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</si>
  <si>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</si>
  <si>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</si>
  <si>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</si>
  <si>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</si>
  <si>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</si>
  <si>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</si>
  <si>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</si>
  <si>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</si>
  <si>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</si>
  <si>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</si>
  <si>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</si>
  <si>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</si>
  <si>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</si>
  <si>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</si>
  <si>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</si>
  <si>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</si>
  <si>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</si>
  <si>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</si>
  <si>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</si>
  <si>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</si>
  <si>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</si>
  <si>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</si>
  <si>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</si>
  <si>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</si>
  <si>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</si>
  <si>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</si>
  <si>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</si>
  <si>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</si>
  <si>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</si>
  <si>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</si>
  <si>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</si>
  <si>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</si>
  <si>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</si>
  <si>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</si>
  <si>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</si>
  <si>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</si>
  <si>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</si>
  <si>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</si>
  <si>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</si>
  <si>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</si>
  <si>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</si>
  <si>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</si>
  <si>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</si>
  <si>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</si>
  <si>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</si>
  <si>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</si>
  <si>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</si>
  <si>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</si>
  <si>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</si>
  <si>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</si>
  <si>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</si>
  <si>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</si>
  <si>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</si>
  <si>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</si>
  <si>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</si>
  <si>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</si>
  <si>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</si>
  <si>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</si>
  <si>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</si>
  <si>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</si>
  <si>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</si>
  <si>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</si>
  <si>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</si>
  <si>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</si>
  <si>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</si>
  <si>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</si>
  <si>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</si>
  <si>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</si>
  <si>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</si>
  <si>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</si>
  <si>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</si>
  <si>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</si>
  <si>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</si>
  <si>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</si>
  <si>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</si>
  <si>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</si>
  <si>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</si>
  <si>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</si>
  <si>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</si>
  <si>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</si>
  <si>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</si>
  <si>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</si>
  <si>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</si>
  <si>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</si>
  <si>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</si>
  <si>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</si>
  <si>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</si>
  <si>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</si>
  <si>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</si>
  <si>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</si>
  <si>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</si>
  <si>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</si>
  <si>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</si>
  <si>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</si>
  <si>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</si>
  <si>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</si>
  <si>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</si>
  <si>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</si>
  <si>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</si>
  <si>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</si>
  <si>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</si>
  <si>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</si>
  <si>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</si>
  <si>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</si>
  <si>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</si>
  <si>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</si>
  <si>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</si>
  <si>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</si>
  <si>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</si>
  <si>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</si>
  <si>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</si>
  <si>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</si>
  <si>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</si>
  <si>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</si>
  <si>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</si>
  <si>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</si>
  <si>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</si>
  <si>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</si>
  <si>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</si>
  <si>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</si>
  <si>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</si>
  <si>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</si>
  <si>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</si>
  <si>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</si>
  <si>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</si>
  <si>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</si>
  <si>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</si>
  <si>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</si>
  <si>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</si>
  <si>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</si>
  <si>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</si>
  <si>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</si>
  <si>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</si>
  <si>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</si>
  <si>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</si>
  <si>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</si>
  <si>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</si>
  <si>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</si>
  <si>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</si>
  <si>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</si>
  <si>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</si>
  <si>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</si>
  <si>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</si>
  <si>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</si>
  <si>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</si>
  <si>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</si>
  <si>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</si>
  <si>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</si>
  <si>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</si>
  <si>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</si>
  <si>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</si>
  <si>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</si>
  <si>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</si>
  <si>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</si>
  <si>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</si>
  <si>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</si>
  <si>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</si>
  <si>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</si>
  <si>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</si>
  <si>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</si>
  <si>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</si>
  <si>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</si>
  <si>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</si>
  <si>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</si>
  <si>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</si>
  <si>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</si>
  <si>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</si>
  <si>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</si>
  <si>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</si>
  <si>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</si>
  <si>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</si>
  <si>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</si>
  <si>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</si>
  <si>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</si>
  <si>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</si>
  <si>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</si>
  <si>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</si>
  <si>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</si>
  <si>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</si>
  <si>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</si>
  <si>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</si>
  <si>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</si>
  <si>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</si>
  <si>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</si>
  <si>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</si>
  <si>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</si>
  <si>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</si>
  <si>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</si>
  <si>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</si>
  <si>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</si>
  <si>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</si>
  <si>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</si>
  <si>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</si>
  <si>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</si>
  <si>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</si>
  <si>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</si>
  <si>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</si>
  <si>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</si>
  <si>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</si>
  <si>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</si>
  <si>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</si>
  <si>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</si>
  <si>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</si>
  <si>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</si>
  <si>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</si>
  <si>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</si>
  <si>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</si>
  <si>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</si>
  <si>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</si>
  <si>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</si>
  <si>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</si>
  <si>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</si>
  <si>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</si>
  <si>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</si>
  <si>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</si>
  <si>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</si>
  <si>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</si>
  <si>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</si>
  <si>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</si>
  <si>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</si>
  <si>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</si>
  <si>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</si>
  <si>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</si>
  <si>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</si>
  <si>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</si>
  <si>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</si>
  <si>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</si>
  <si>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</si>
  <si>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</si>
  <si>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</si>
  <si>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</si>
  <si>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</si>
  <si>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</si>
  <si>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</si>
  <si>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</si>
  <si>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</si>
  <si>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</si>
  <si>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</si>
  <si>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</si>
  <si>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</si>
  <si>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</si>
  <si>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</si>
  <si>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</si>
  <si>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</si>
  <si>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</si>
  <si>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</si>
  <si>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</si>
  <si>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</si>
  <si>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</si>
  <si>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</si>
  <si>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</si>
  <si>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</si>
  <si>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</si>
  <si>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</si>
  <si>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</si>
  <si>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</si>
  <si>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</si>
  <si>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</si>
  <si>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</si>
  <si>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</si>
  <si>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</si>
  <si>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</si>
  <si>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</si>
  <si>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</si>
  <si>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</si>
  <si>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</si>
  <si>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</si>
  <si>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</si>
  <si>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</si>
  <si>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</si>
  <si>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</si>
  <si>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</si>
  <si>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</si>
  <si>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</si>
  <si>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</si>
  <si>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</si>
  <si>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</si>
  <si>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</si>
  <si>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</si>
  <si>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</si>
  <si>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</si>
  <si>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</si>
  <si>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</si>
  <si>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</si>
  <si>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</si>
  <si>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</si>
  <si>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</si>
  <si>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</si>
  <si>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</si>
  <si>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</si>
  <si>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</si>
  <si>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</si>
  <si>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</si>
  <si>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</si>
  <si>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</si>
  <si>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</si>
  <si>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</si>
  <si>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</si>
  <si>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</si>
  <si>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</si>
  <si>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</si>
  <si>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</si>
  <si>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</si>
  <si>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</si>
  <si>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</si>
  <si>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</si>
  <si>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</si>
  <si>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</si>
  <si>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</si>
  <si>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</si>
  <si>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</si>
  <si>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</si>
  <si>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</si>
  <si>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</si>
  <si>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</si>
  <si>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</si>
  <si>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</si>
  <si>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</si>
  <si>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</si>
  <si>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</si>
  <si>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</si>
  <si>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</si>
  <si>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</si>
  <si>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</si>
  <si>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</si>
  <si>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</si>
  <si>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</si>
  <si>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</si>
  <si>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</si>
  <si>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</si>
  <si>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</si>
  <si>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</si>
  <si>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</si>
  <si>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</si>
  <si>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</si>
  <si>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</si>
  <si>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</si>
  <si>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</si>
  <si>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</si>
  <si>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</si>
  <si>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</si>
  <si>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</si>
  <si>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</si>
  <si>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</si>
  <si>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</si>
  <si>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</si>
  <si>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</si>
  <si>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</si>
  <si>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</si>
  <si>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</si>
  <si>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</si>
  <si>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</si>
  <si>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</si>
  <si>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</si>
  <si>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</si>
  <si>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</si>
  <si>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</si>
  <si>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</si>
  <si>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</si>
  <si>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</si>
  <si>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</si>
  <si>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</si>
  <si>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</si>
  <si>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</si>
  <si>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</si>
  <si>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</si>
  <si>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</si>
  <si>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</si>
  <si>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</si>
  <si>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</si>
  <si>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</si>
  <si>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</si>
  <si>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</si>
  <si>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</si>
  <si>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</si>
  <si>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</si>
  <si>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</si>
  <si>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</si>
  <si>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</si>
  <si>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</si>
  <si>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</si>
  <si>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</si>
  <si>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</si>
  <si>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</si>
  <si>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</si>
  <si>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</si>
  <si>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</si>
  <si>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</si>
  <si>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</si>
  <si>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</si>
  <si>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</si>
  <si>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</si>
  <si>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</si>
  <si>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</si>
  <si>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</si>
  <si>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</si>
  <si>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</si>
  <si>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</si>
  <si>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</si>
  <si>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</si>
  <si>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</si>
  <si>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</si>
  <si>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</si>
  <si>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</si>
  <si>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</si>
  <si>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</si>
  <si>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</si>
  <si>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</si>
  <si>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</si>
  <si>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</si>
  <si>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</si>
  <si>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</si>
  <si>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</si>
  <si>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</si>
  <si>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</si>
  <si>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</si>
  <si>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</si>
  <si>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</si>
  <si>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</si>
  <si>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</si>
  <si>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</si>
  <si>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</si>
  <si>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</si>
  <si>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</si>
  <si>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</si>
  <si>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</si>
  <si>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</si>
  <si>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</si>
  <si>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</si>
  <si>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</si>
  <si>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</si>
  <si>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</si>
  <si>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</si>
  <si>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</si>
  <si>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</si>
  <si>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</si>
  <si>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</si>
  <si>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</si>
  <si>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</si>
  <si>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</si>
  <si>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</si>
  <si>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</si>
  <si>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</si>
  <si>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</si>
  <si>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</si>
  <si>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</si>
  <si>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</si>
  <si>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</si>
  <si>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</si>
  <si>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</si>
  <si>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</si>
  <si>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</si>
  <si>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</si>
  <si>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</si>
  <si>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</si>
  <si>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</si>
  <si>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</si>
  <si>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</si>
  <si>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</si>
  <si>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</si>
  <si>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</si>
  <si>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</si>
  <si>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</si>
  <si>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</si>
  <si>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</si>
  <si>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</si>
  <si>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</si>
  <si>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</si>
  <si>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</si>
  <si>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</si>
  <si>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</si>
  <si>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</si>
  <si>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</si>
  <si>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</si>
  <si>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</si>
  <si>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</si>
  <si>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</si>
  <si>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</si>
  <si>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</si>
  <si>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</si>
  <si>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</si>
  <si>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</si>
  <si>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</si>
  <si>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</si>
  <si>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</si>
  <si>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</si>
  <si>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</si>
  <si>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</si>
  <si>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</si>
  <si>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</si>
  <si>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</si>
  <si>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</si>
  <si>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</si>
  <si>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</si>
  <si>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</si>
  <si>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</si>
  <si>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</si>
  <si>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</si>
  <si>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</si>
  <si>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</si>
  <si>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</si>
  <si>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</si>
  <si>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</si>
  <si>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</si>
  <si>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</si>
  <si>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</si>
  <si>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</si>
  <si>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</si>
  <si>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</si>
  <si>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</si>
  <si>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</si>
  <si>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</si>
  <si>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</si>
  <si>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</si>
  <si>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</si>
  <si>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</si>
  <si>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</si>
  <si>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</si>
  <si>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</si>
  <si>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</si>
  <si>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</si>
  <si>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</si>
  <si>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</si>
  <si>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</si>
  <si>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</si>
  <si>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</si>
  <si>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</si>
  <si>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</si>
  <si>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</si>
  <si>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</si>
  <si>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</si>
  <si>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</si>
  <si>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</si>
  <si>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</si>
  <si>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</si>
  <si>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</si>
  <si>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</si>
  <si>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</si>
  <si>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</si>
  <si>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</si>
  <si>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</si>
  <si>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</si>
  <si>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</si>
  <si>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</si>
  <si>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</si>
  <si>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</si>
  <si>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</si>
  <si>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</si>
  <si>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</si>
  <si>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</si>
  <si>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</si>
  <si>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</si>
  <si>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</si>
  <si>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</si>
  <si>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</si>
  <si>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</si>
  <si>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</si>
  <si>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</si>
  <si>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</si>
  <si>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</si>
  <si>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</si>
  <si>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</si>
  <si>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</si>
  <si>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</si>
  <si>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</si>
  <si>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</si>
  <si>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</si>
  <si>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</si>
  <si>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</si>
  <si>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</si>
  <si>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</si>
  <si>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</si>
  <si>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</si>
  <si>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</si>
  <si>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</si>
  <si>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</si>
  <si>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</si>
  <si>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</si>
  <si>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</si>
  <si>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</si>
  <si>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</si>
  <si>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</si>
  <si>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</si>
  <si>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</si>
  <si>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</si>
  <si>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</si>
  <si>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</si>
  <si>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</si>
  <si>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</si>
  <si>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</si>
  <si>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</si>
  <si>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</si>
  <si>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</si>
  <si>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</si>
  <si>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</si>
  <si>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</si>
  <si>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</si>
  <si>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</si>
  <si>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</si>
  <si>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</si>
  <si>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</si>
  <si>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</si>
  <si>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</si>
  <si>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</si>
  <si>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</si>
  <si>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</si>
  <si>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</si>
  <si>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</si>
  <si>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</si>
  <si>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</si>
  <si>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</si>
  <si>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</si>
  <si>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</si>
  <si>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</si>
  <si>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</si>
  <si>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</si>
  <si>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</si>
  <si>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</si>
  <si>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</si>
  <si>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</si>
  <si>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</si>
  <si>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</si>
  <si>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</si>
  <si>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</si>
  <si>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</si>
  <si>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</si>
  <si>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</si>
  <si>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</si>
  <si>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</si>
  <si>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</si>
  <si>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</si>
  <si>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</si>
  <si>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</si>
  <si>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</si>
  <si>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</si>
  <si>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</si>
  <si>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</si>
  <si>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</si>
  <si>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</si>
  <si>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</si>
  <si>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</si>
  <si>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</si>
  <si>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</si>
  <si>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</si>
  <si>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</si>
  <si>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</si>
  <si>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</si>
  <si>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</si>
  <si>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</si>
  <si>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</si>
  <si>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</si>
  <si>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</si>
  <si>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</si>
  <si>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</si>
  <si>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</si>
  <si>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</si>
  <si>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</si>
  <si>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</si>
  <si>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</si>
  <si>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</si>
  <si>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</si>
  <si>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</si>
  <si>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</si>
  <si>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</si>
  <si>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</si>
  <si>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</si>
  <si>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</si>
  <si>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</si>
  <si>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</si>
  <si>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</si>
  <si>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</si>
  <si>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</si>
  <si>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</si>
  <si>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</si>
  <si>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</si>
  <si>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</si>
  <si>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</si>
  <si>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</si>
  <si>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</si>
  <si>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</si>
  <si>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</si>
  <si>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</si>
  <si>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</si>
  <si>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</si>
  <si>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</si>
  <si>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</si>
  <si>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</si>
  <si>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</si>
  <si>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</si>
  <si>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</si>
  <si>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</si>
  <si>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</si>
  <si>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</si>
  <si>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</si>
  <si>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</si>
  <si>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</si>
  <si>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</si>
  <si>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</si>
  <si>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</si>
  <si>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</si>
  <si>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</si>
  <si>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</si>
  <si>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</si>
  <si>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</si>
  <si>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</si>
  <si>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</si>
  <si>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</si>
  <si>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</si>
  <si>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</si>
  <si>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</si>
  <si>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</si>
  <si>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</si>
  <si>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</si>
  <si>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</si>
  <si>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</si>
  <si>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</si>
  <si>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</si>
  <si>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</si>
  <si>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</si>
  <si>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</si>
  <si>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</si>
  <si>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</si>
  <si>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</si>
  <si>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</si>
  <si>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</si>
  <si>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</si>
  <si>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</si>
  <si>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</si>
  <si>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</si>
  <si>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</si>
  <si>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</si>
  <si>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</si>
  <si>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</si>
  <si>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</si>
  <si>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</si>
  <si>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</si>
  <si>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</si>
  <si>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</si>
  <si>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</si>
  <si>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</si>
  <si>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</si>
  <si>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</si>
  <si>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</si>
  <si>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</si>
  <si>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</si>
  <si>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</si>
  <si>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</si>
  <si>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</si>
  <si>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</si>
  <si>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</si>
  <si>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</si>
  <si>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</si>
  <si>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</si>
  <si>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</si>
  <si>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</si>
  <si>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</si>
  <si>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</si>
  <si>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</si>
  <si>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</si>
  <si>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</si>
  <si>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</si>
  <si>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</si>
  <si>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</si>
  <si>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</si>
  <si>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</si>
  <si>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</si>
  <si>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</si>
  <si>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</si>
  <si>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</si>
  <si>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</si>
  <si>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</si>
  <si>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</si>
  <si>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</si>
  <si>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</si>
  <si>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</si>
  <si>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</si>
  <si>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</si>
  <si>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</si>
  <si>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</si>
  <si>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</si>
  <si>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</si>
  <si>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</si>
  <si>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</si>
  <si>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</si>
  <si>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</si>
  <si>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</si>
  <si>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</si>
  <si>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</si>
  <si>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</si>
  <si>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</si>
  <si>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</si>
  <si>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</si>
  <si>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</si>
  <si>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</si>
  <si>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</si>
  <si>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</si>
  <si>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</si>
  <si>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23081</t>
  </si>
  <si>
    <t>STEENOKKERZEEL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</si>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</sst>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90268.771233417472</c:v>
                </c:pt>
                <c:pt idx="1">
                  <c:v>62565.298463772706</c:v>
                </c:pt>
                <c:pt idx="2">
                  <c:v>954.86699999999996</c:v>
                </c:pt>
                <c:pt idx="3">
                  <c:v>2195.647086557713</c:v>
                </c:pt>
                <c:pt idx="4">
                  <c:v>3132.9092709032334</c:v>
                </c:pt>
                <c:pt idx="5">
                  <c:v>108864.31974870799</c:v>
                </c:pt>
                <c:pt idx="6">
                  <c:v>5339.2174298071695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25696"/>
        <c:axId val="176527232"/>
      </c:barChart>
      <c:catAx>
        <c:axId val="176525696"/>
        <c:scaling>
          <c:orientation val="minMax"/>
        </c:scaling>
        <c:axPos val="b"/>
        <c:numFmt formatCode="General" sourceLinked="0"/>
        <c:tickLblPos val="nextTo"/>
        <c:crossAx val="176527232"/>
        <c:crosses val="autoZero"/>
        <c:auto val="1"/>
        <c:lblAlgn val="ctr"/>
        <c:lblOffset val="100"/>
      </c:catAx>
      <c:valAx>
        <c:axId val="176527232"/>
        <c:scaling>
          <c:orientation val="minMax"/>
        </c:scaling>
        <c:axPos val="l"/>
        <c:majorGridlines>
          <c:spPr>
            <a:ln>
              <a:noFill/>
            </a:ln>
          </c:spPr>
        </c:majorGridlines>
        <c:numFmt formatCode="#,##0" sourceLinked="1"/>
        <c:tickLblPos val="nextTo"/>
        <c:crossAx val="1765256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90268.771233417472</c:v>
                </c:pt>
                <c:pt idx="1">
                  <c:v>62565.298463772706</c:v>
                </c:pt>
                <c:pt idx="2">
                  <c:v>954.86699999999996</c:v>
                </c:pt>
                <c:pt idx="3">
                  <c:v>2195.647086557713</c:v>
                </c:pt>
                <c:pt idx="4">
                  <c:v>3132.9092709032334</c:v>
                </c:pt>
                <c:pt idx="5">
                  <c:v>108864.31974870799</c:v>
                </c:pt>
                <c:pt idx="6">
                  <c:v>5339.2174298071695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16742.767598262133</c:v>
                </c:pt>
                <c:pt idx="2">
                  <c:v>12737.404508812446</c:v>
                </c:pt>
                <c:pt idx="3">
                  <c:v>198.04158567659016</c:v>
                </c:pt>
                <c:pt idx="4">
                  <c:v>557.81190180686065</c:v>
                </c:pt>
                <c:pt idx="5">
                  <c:v>633.7776877873215</c:v>
                </c:pt>
                <c:pt idx="6">
                  <c:v>27266.269009716456</c:v>
                </c:pt>
                <c:pt idx="7">
                  <c:v>1348.9562914734126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92192"/>
        <c:axId val="183222656"/>
      </c:barChart>
      <c:catAx>
        <c:axId val="183192192"/>
        <c:scaling>
          <c:orientation val="minMax"/>
        </c:scaling>
        <c:axPos val="b"/>
        <c:numFmt formatCode="General" sourceLinked="0"/>
        <c:tickLblPos val="nextTo"/>
        <c:crossAx val="183222656"/>
        <c:crosses val="autoZero"/>
        <c:auto val="1"/>
        <c:lblAlgn val="ctr"/>
        <c:lblOffset val="100"/>
      </c:catAx>
      <c:valAx>
        <c:axId val="183222656"/>
        <c:scaling>
          <c:orientation val="minMax"/>
        </c:scaling>
        <c:axPos val="l"/>
        <c:majorGridlines>
          <c:spPr>
            <a:ln>
              <a:noFill/>
            </a:ln>
          </c:spPr>
        </c:majorGridlines>
        <c:numFmt formatCode="#,##0" sourceLinked="1"/>
        <c:tickLblPos val="nextTo"/>
        <c:crossAx val="1831921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16742.767598262133</c:v>
                </c:pt>
                <c:pt idx="2">
                  <c:v>12737.404508812446</c:v>
                </c:pt>
                <c:pt idx="3">
                  <c:v>198.04158567659016</c:v>
                </c:pt>
                <c:pt idx="4">
                  <c:v>557.81190180686065</c:v>
                </c:pt>
                <c:pt idx="5">
                  <c:v>633.7776877873215</c:v>
                </c:pt>
                <c:pt idx="6">
                  <c:v>27266.269009716456</c:v>
                </c:pt>
                <c:pt idx="7">
                  <c:v>1348.9562914734126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25169.122370999998</v>
      </c>
      <c r="D10" s="1013">
        <f ca="1">tertiair!C16</f>
        <v>0</v>
      </c>
      <c r="E10" s="1013">
        <f ca="1">tertiair!D16</f>
        <v>32852.391421057997</v>
      </c>
      <c r="F10" s="1013">
        <f>tertiair!E16</f>
        <v>129.46698352770355</v>
      </c>
      <c r="G10" s="1013">
        <f ca="1">tertiair!F16</f>
        <v>3931.5671170697515</v>
      </c>
      <c r="H10" s="1013">
        <f>tertiair!G16</f>
        <v>0</v>
      </c>
      <c r="I10" s="1013">
        <f>tertiair!H16</f>
        <v>0</v>
      </c>
      <c r="J10" s="1013">
        <f>tertiair!I16</f>
        <v>0</v>
      </c>
      <c r="K10" s="1013">
        <f>tertiair!J16</f>
        <v>3.5104201467204714E-2</v>
      </c>
      <c r="L10" s="1013">
        <f>tertiair!K16</f>
        <v>0</v>
      </c>
      <c r="M10" s="1013">
        <f ca="1">tertiair!L16</f>
        <v>0</v>
      </c>
      <c r="N10" s="1013">
        <f>tertiair!M16</f>
        <v>0</v>
      </c>
      <c r="O10" s="1013">
        <f ca="1">tertiair!N16</f>
        <v>1418.5158002491207</v>
      </c>
      <c r="P10" s="1013">
        <f>tertiair!O16</f>
        <v>0</v>
      </c>
      <c r="Q10" s="1014">
        <f>tertiair!P16</f>
        <v>19.066666666666666</v>
      </c>
      <c r="R10" s="700">
        <f ca="1">SUM(C10:Q10)</f>
        <v>63520.165463772704</v>
      </c>
      <c r="S10" s="67"/>
    </row>
    <row r="11" spans="1:19" s="473" customFormat="1">
      <c r="A11" s="809" t="s">
        <v>225</v>
      </c>
      <c r="B11" s="814"/>
      <c r="C11" s="1013">
        <f>huishoudens!B8</f>
        <v>20290.718097630008</v>
      </c>
      <c r="D11" s="1013">
        <f>huishoudens!C8</f>
        <v>0</v>
      </c>
      <c r="E11" s="1013">
        <f>huishoudens!D8</f>
        <v>54771.832284400007</v>
      </c>
      <c r="F11" s="1013">
        <f>huishoudens!E8</f>
        <v>1496.4097247147345</v>
      </c>
      <c r="G11" s="1013">
        <f>huishoudens!F8</f>
        <v>4235.3236945483741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8869.0140987909945</v>
      </c>
      <c r="P11" s="1013">
        <f>huishoudens!O8</f>
        <v>90.673333333333346</v>
      </c>
      <c r="Q11" s="1014">
        <f>huishoudens!P8</f>
        <v>514.79999999999995</v>
      </c>
      <c r="R11" s="700">
        <f>SUM(C11:Q11)</f>
        <v>90268.771233417472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1055.6960000000001</v>
      </c>
      <c r="D13" s="1013">
        <f>industrie!C18</f>
        <v>0</v>
      </c>
      <c r="E13" s="1013">
        <f>industrie!D18</f>
        <v>1499.0133859360001</v>
      </c>
      <c r="F13" s="1013">
        <f>industrie!E18</f>
        <v>103.52596735534904</v>
      </c>
      <c r="G13" s="1013">
        <f>industrie!F18</f>
        <v>331.45269247673605</v>
      </c>
      <c r="H13" s="1013">
        <f>industrie!G18</f>
        <v>0</v>
      </c>
      <c r="I13" s="1013">
        <f>industrie!H18</f>
        <v>0</v>
      </c>
      <c r="J13" s="1013">
        <f>industrie!I18</f>
        <v>0</v>
      </c>
      <c r="K13" s="1013">
        <f>industrie!J18</f>
        <v>7.0539387002537257E-2</v>
      </c>
      <c r="L13" s="1013">
        <f>industrie!K18</f>
        <v>0</v>
      </c>
      <c r="M13" s="1013">
        <f>industrie!L18</f>
        <v>0</v>
      </c>
      <c r="N13" s="1013">
        <f>industrie!M18</f>
        <v>0</v>
      </c>
      <c r="O13" s="1013">
        <f>industrie!N18</f>
        <v>143.15068574814549</v>
      </c>
      <c r="P13" s="1013">
        <f>industrie!O18</f>
        <v>0</v>
      </c>
      <c r="Q13" s="1014">
        <f>industrie!P18</f>
        <v>0</v>
      </c>
      <c r="R13" s="700">
        <f>SUM(C13:Q13)</f>
        <v>3132.9092709032334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46515.536468630009</v>
      </c>
      <c r="D16" s="732">
        <f t="shared" ref="D16:R16" ca="1" si="0">SUM(D9:D15)</f>
        <v>0</v>
      </c>
      <c r="E16" s="732">
        <f t="shared" ca="1" si="0"/>
        <v>89123.23709139401</v>
      </c>
      <c r="F16" s="732">
        <f t="shared" si="0"/>
        <v>1729.402675597787</v>
      </c>
      <c r="G16" s="732">
        <f t="shared" ca="1" si="0"/>
        <v>8498.3435040948607</v>
      </c>
      <c r="H16" s="732">
        <f t="shared" si="0"/>
        <v>0</v>
      </c>
      <c r="I16" s="732">
        <f t="shared" si="0"/>
        <v>0</v>
      </c>
      <c r="J16" s="732">
        <f t="shared" si="0"/>
        <v>0</v>
      </c>
      <c r="K16" s="732">
        <f t="shared" si="0"/>
        <v>0.10564358846974198</v>
      </c>
      <c r="L16" s="732">
        <f t="shared" si="0"/>
        <v>0</v>
      </c>
      <c r="M16" s="732">
        <f t="shared" ca="1" si="0"/>
        <v>0</v>
      </c>
      <c r="N16" s="732">
        <f t="shared" si="0"/>
        <v>0</v>
      </c>
      <c r="O16" s="732">
        <f t="shared" ca="1" si="0"/>
        <v>10430.680584788261</v>
      </c>
      <c r="P16" s="732">
        <f t="shared" si="0"/>
        <v>90.673333333333346</v>
      </c>
      <c r="Q16" s="732">
        <f t="shared" si="0"/>
        <v>533.86666666666667</v>
      </c>
      <c r="R16" s="732">
        <f t="shared" ca="1" si="0"/>
        <v>156921.8459680934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5052.2707545820695</v>
      </c>
      <c r="I19" s="1013">
        <f>transport!H54</f>
        <v>0</v>
      </c>
      <c r="J19" s="1013">
        <f>transport!I54</f>
        <v>0</v>
      </c>
      <c r="K19" s="1013">
        <f>transport!J54</f>
        <v>0</v>
      </c>
      <c r="L19" s="1013">
        <f>transport!K54</f>
        <v>0</v>
      </c>
      <c r="M19" s="1013">
        <f>transport!L54</f>
        <v>0</v>
      </c>
      <c r="N19" s="1013">
        <f>transport!M54</f>
        <v>286.94667522509997</v>
      </c>
      <c r="O19" s="1013">
        <f>transport!N54</f>
        <v>0</v>
      </c>
      <c r="P19" s="1013">
        <f>transport!O54</f>
        <v>0</v>
      </c>
      <c r="Q19" s="1014">
        <f>transport!P54</f>
        <v>0</v>
      </c>
      <c r="R19" s="700">
        <f>SUM(C19:Q19)</f>
        <v>5339.2174298071695</v>
      </c>
      <c r="S19" s="67"/>
    </row>
    <row r="20" spans="1:19" s="473" customFormat="1">
      <c r="A20" s="809" t="s">
        <v>307</v>
      </c>
      <c r="B20" s="814"/>
      <c r="C20" s="1013">
        <f>transport!B14</f>
        <v>45.27714691797437</v>
      </c>
      <c r="D20" s="1013">
        <f>transport!C14</f>
        <v>0</v>
      </c>
      <c r="E20" s="1013">
        <f>transport!D14</f>
        <v>148.42678973001503</v>
      </c>
      <c r="F20" s="1013">
        <f>transport!E14</f>
        <v>208.93105402024185</v>
      </c>
      <c r="G20" s="1013">
        <f>transport!F14</f>
        <v>0</v>
      </c>
      <c r="H20" s="1013">
        <f>transport!G14</f>
        <v>86004.625002806933</v>
      </c>
      <c r="I20" s="1013">
        <f>transport!H14</f>
        <v>16932.666626580813</v>
      </c>
      <c r="J20" s="1013">
        <f>transport!I14</f>
        <v>0</v>
      </c>
      <c r="K20" s="1013">
        <f>transport!J14</f>
        <v>0</v>
      </c>
      <c r="L20" s="1013">
        <f>transport!K14</f>
        <v>0</v>
      </c>
      <c r="M20" s="1013">
        <f>transport!L14</f>
        <v>0</v>
      </c>
      <c r="N20" s="1013">
        <f>transport!M14</f>
        <v>5524.3931286520101</v>
      </c>
      <c r="O20" s="1013">
        <f>transport!N14</f>
        <v>0</v>
      </c>
      <c r="P20" s="1013">
        <f>transport!O14</f>
        <v>0</v>
      </c>
      <c r="Q20" s="1014">
        <f>transport!P14</f>
        <v>0</v>
      </c>
      <c r="R20" s="700">
        <f>SUM(C20:Q20)</f>
        <v>108864.31974870799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45.27714691797437</v>
      </c>
      <c r="D22" s="812">
        <f t="shared" ref="D22:R22" si="1">SUM(D18:D21)</f>
        <v>0</v>
      </c>
      <c r="E22" s="812">
        <f t="shared" si="1"/>
        <v>148.42678973001503</v>
      </c>
      <c r="F22" s="812">
        <f t="shared" si="1"/>
        <v>208.93105402024185</v>
      </c>
      <c r="G22" s="812">
        <f t="shared" si="1"/>
        <v>0</v>
      </c>
      <c r="H22" s="812">
        <f t="shared" si="1"/>
        <v>91056.895757389007</v>
      </c>
      <c r="I22" s="812">
        <f t="shared" si="1"/>
        <v>16932.666626580813</v>
      </c>
      <c r="J22" s="812">
        <f t="shared" si="1"/>
        <v>0</v>
      </c>
      <c r="K22" s="812">
        <f t="shared" si="1"/>
        <v>0</v>
      </c>
      <c r="L22" s="812">
        <f t="shared" si="1"/>
        <v>0</v>
      </c>
      <c r="M22" s="812">
        <f t="shared" si="1"/>
        <v>0</v>
      </c>
      <c r="N22" s="812">
        <f t="shared" si="1"/>
        <v>5811.3398038771102</v>
      </c>
      <c r="O22" s="812">
        <f t="shared" si="1"/>
        <v>0</v>
      </c>
      <c r="P22" s="812">
        <f t="shared" si="1"/>
        <v>0</v>
      </c>
      <c r="Q22" s="812">
        <f t="shared" si="1"/>
        <v>0</v>
      </c>
      <c r="R22" s="812">
        <f t="shared" si="1"/>
        <v>114203.53717851517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382.314953</v>
      </c>
      <c r="D24" s="1013">
        <f>+landbouw!C8</f>
        <v>0</v>
      </c>
      <c r="E24" s="1013">
        <f>+landbouw!D8</f>
        <v>154.00206800000001</v>
      </c>
      <c r="F24" s="1013">
        <f>+landbouw!E8</f>
        <v>11.237404193316991</v>
      </c>
      <c r="G24" s="1013">
        <f>+landbouw!F8</f>
        <v>1592.7034349822941</v>
      </c>
      <c r="H24" s="1013">
        <f>+landbouw!G8</f>
        <v>0</v>
      </c>
      <c r="I24" s="1013">
        <f>+landbouw!H8</f>
        <v>0</v>
      </c>
      <c r="J24" s="1013">
        <f>+landbouw!I8</f>
        <v>0</v>
      </c>
      <c r="K24" s="1013">
        <f>+landbouw!J8</f>
        <v>55.38922638210186</v>
      </c>
      <c r="L24" s="1013">
        <f>+landbouw!K8</f>
        <v>0</v>
      </c>
      <c r="M24" s="1013">
        <f>+landbouw!L8</f>
        <v>0</v>
      </c>
      <c r="N24" s="1013">
        <f>+landbouw!M8</f>
        <v>0</v>
      </c>
      <c r="O24" s="1013">
        <f>+landbouw!N8</f>
        <v>0</v>
      </c>
      <c r="P24" s="1013">
        <f>+landbouw!O8</f>
        <v>0</v>
      </c>
      <c r="Q24" s="1014">
        <f>+landbouw!P8</f>
        <v>0</v>
      </c>
      <c r="R24" s="700">
        <f>SUM(C24:Q24)</f>
        <v>2195.647086557713</v>
      </c>
      <c r="S24" s="67"/>
    </row>
    <row r="25" spans="1:19" s="473" customFormat="1" ht="15" thickBot="1">
      <c r="A25" s="831" t="s">
        <v>836</v>
      </c>
      <c r="B25" s="1016"/>
      <c r="C25" s="1017">
        <f>IF(Onbekend_ele_kWh="---",0,Onbekend_ele_kWh)/1000+IF(REST_rest_ele_kWh="---",0,REST_rest_ele_kWh)/1000</f>
        <v>254.75920000000002</v>
      </c>
      <c r="D25" s="1017"/>
      <c r="E25" s="1017">
        <f>IF(onbekend_gas_kWh="---",0,onbekend_gas_kWh)/1000+IF(REST_rest_gas_kWh="---",0,REST_rest_gas_kWh)/1000</f>
        <v>736.60119999999995</v>
      </c>
      <c r="F25" s="1017"/>
      <c r="G25" s="1017"/>
      <c r="H25" s="1017"/>
      <c r="I25" s="1017"/>
      <c r="J25" s="1017"/>
      <c r="K25" s="1017"/>
      <c r="L25" s="1017"/>
      <c r="M25" s="1017"/>
      <c r="N25" s="1017"/>
      <c r="O25" s="1017"/>
      <c r="P25" s="1017"/>
      <c r="Q25" s="1018"/>
      <c r="R25" s="700">
        <f>SUM(C25:Q25)</f>
        <v>991.36040000000003</v>
      </c>
      <c r="S25" s="67"/>
    </row>
    <row r="26" spans="1:19" s="473" customFormat="1" ht="15.75" thickBot="1">
      <c r="A26" s="705" t="s">
        <v>837</v>
      </c>
      <c r="B26" s="817"/>
      <c r="C26" s="812">
        <f>SUM(C24:C25)</f>
        <v>637.07415300000002</v>
      </c>
      <c r="D26" s="812">
        <f t="shared" ref="D26:R26" si="2">SUM(D24:D25)</f>
        <v>0</v>
      </c>
      <c r="E26" s="812">
        <f t="shared" si="2"/>
        <v>890.60326799999996</v>
      </c>
      <c r="F26" s="812">
        <f t="shared" si="2"/>
        <v>11.237404193316991</v>
      </c>
      <c r="G26" s="812">
        <f t="shared" si="2"/>
        <v>1592.7034349822941</v>
      </c>
      <c r="H26" s="812">
        <f t="shared" si="2"/>
        <v>0</v>
      </c>
      <c r="I26" s="812">
        <f t="shared" si="2"/>
        <v>0</v>
      </c>
      <c r="J26" s="812">
        <f t="shared" si="2"/>
        <v>0</v>
      </c>
      <c r="K26" s="812">
        <f t="shared" si="2"/>
        <v>55.38922638210186</v>
      </c>
      <c r="L26" s="812">
        <f t="shared" si="2"/>
        <v>0</v>
      </c>
      <c r="M26" s="812">
        <f t="shared" si="2"/>
        <v>0</v>
      </c>
      <c r="N26" s="812">
        <f t="shared" si="2"/>
        <v>0</v>
      </c>
      <c r="O26" s="812">
        <f t="shared" si="2"/>
        <v>0</v>
      </c>
      <c r="P26" s="812">
        <f t="shared" si="2"/>
        <v>0</v>
      </c>
      <c r="Q26" s="812">
        <f t="shared" si="2"/>
        <v>0</v>
      </c>
      <c r="R26" s="812">
        <f t="shared" si="2"/>
        <v>3187.007486557713</v>
      </c>
      <c r="S26" s="67"/>
    </row>
    <row r="27" spans="1:19" s="473" customFormat="1" ht="17.25" thickTop="1" thickBot="1">
      <c r="A27" s="706" t="s">
        <v>116</v>
      </c>
      <c r="B27" s="805"/>
      <c r="C27" s="707">
        <f ca="1">C22+C16+C26</f>
        <v>47197.887768547982</v>
      </c>
      <c r="D27" s="707">
        <f t="shared" ref="D27:R27" ca="1" si="3">D22+D16+D26</f>
        <v>0</v>
      </c>
      <c r="E27" s="707">
        <f t="shared" ca="1" si="3"/>
        <v>90162.267149124033</v>
      </c>
      <c r="F27" s="707">
        <f t="shared" si="3"/>
        <v>1949.5711338113458</v>
      </c>
      <c r="G27" s="707">
        <f t="shared" ca="1" si="3"/>
        <v>10091.046939077154</v>
      </c>
      <c r="H27" s="707">
        <f t="shared" si="3"/>
        <v>91056.895757389007</v>
      </c>
      <c r="I27" s="707">
        <f t="shared" si="3"/>
        <v>16932.666626580813</v>
      </c>
      <c r="J27" s="707">
        <f t="shared" si="3"/>
        <v>0</v>
      </c>
      <c r="K27" s="707">
        <f t="shared" si="3"/>
        <v>55.4948699705716</v>
      </c>
      <c r="L27" s="707">
        <f t="shared" si="3"/>
        <v>0</v>
      </c>
      <c r="M27" s="707">
        <f t="shared" ca="1" si="3"/>
        <v>0</v>
      </c>
      <c r="N27" s="707">
        <f t="shared" si="3"/>
        <v>5811.3398038771102</v>
      </c>
      <c r="O27" s="707">
        <f t="shared" ca="1" si="3"/>
        <v>10430.680584788261</v>
      </c>
      <c r="P27" s="707">
        <f t="shared" si="3"/>
        <v>90.673333333333346</v>
      </c>
      <c r="Q27" s="707">
        <f t="shared" si="3"/>
        <v>533.86666666666667</v>
      </c>
      <c r="R27" s="707">
        <f t="shared" ca="1" si="3"/>
        <v>274312.3906331663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5220.1331750295894</v>
      </c>
      <c r="D40" s="1013">
        <f ca="1">tertiair!C20</f>
        <v>0</v>
      </c>
      <c r="E40" s="1013">
        <f ca="1">tertiair!D20</f>
        <v>6636.1830670537156</v>
      </c>
      <c r="F40" s="1013">
        <f>tertiair!E20</f>
        <v>29.389005260788707</v>
      </c>
      <c r="G40" s="1013">
        <f ca="1">tertiair!F20</f>
        <v>1049.7284202576236</v>
      </c>
      <c r="H40" s="1013">
        <f>tertiair!G20</f>
        <v>0</v>
      </c>
      <c r="I40" s="1013">
        <f>tertiair!H20</f>
        <v>0</v>
      </c>
      <c r="J40" s="1013">
        <f>tertiair!I20</f>
        <v>0</v>
      </c>
      <c r="K40" s="1013">
        <f>tertiair!J20</f>
        <v>1.2426887319390468E-2</v>
      </c>
      <c r="L40" s="1013">
        <f>tertiair!K20</f>
        <v>0</v>
      </c>
      <c r="M40" s="1013">
        <f ca="1">tertiair!L20</f>
        <v>0</v>
      </c>
      <c r="N40" s="1013">
        <f>tertiair!M20</f>
        <v>0</v>
      </c>
      <c r="O40" s="1013">
        <f ca="1">tertiair!N20</f>
        <v>0</v>
      </c>
      <c r="P40" s="1013">
        <f>tertiair!O20</f>
        <v>0</v>
      </c>
      <c r="Q40" s="774">
        <f>tertiair!P20</f>
        <v>0</v>
      </c>
      <c r="R40" s="850">
        <f t="shared" ca="1" si="4"/>
        <v>12935.446094489036</v>
      </c>
    </row>
    <row r="41" spans="1:18">
      <c r="A41" s="822" t="s">
        <v>225</v>
      </c>
      <c r="B41" s="829"/>
      <c r="C41" s="1013">
        <f ca="1">huishoudens!B12</f>
        <v>4208.3410428586722</v>
      </c>
      <c r="D41" s="1013">
        <f ca="1">huishoudens!C12</f>
        <v>0</v>
      </c>
      <c r="E41" s="1013">
        <f>huishoudens!D12</f>
        <v>11063.910121448802</v>
      </c>
      <c r="F41" s="1013">
        <f>huishoudens!E12</f>
        <v>339.68500751024476</v>
      </c>
      <c r="G41" s="1013">
        <f>huishoudens!F12</f>
        <v>1130.8314264444159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16742.767598262133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218.95374940429772</v>
      </c>
      <c r="D43" s="1013">
        <f ca="1">industrie!C22</f>
        <v>0</v>
      </c>
      <c r="E43" s="1013">
        <f>industrie!D22</f>
        <v>302.80070395907205</v>
      </c>
      <c r="F43" s="1013">
        <f>industrie!E22</f>
        <v>23.500394589664232</v>
      </c>
      <c r="G43" s="1013">
        <f>industrie!F22</f>
        <v>88.497868891288533</v>
      </c>
      <c r="H43" s="1013">
        <f>industrie!G22</f>
        <v>0</v>
      </c>
      <c r="I43" s="1013">
        <f>industrie!H22</f>
        <v>0</v>
      </c>
      <c r="J43" s="1013">
        <f>industrie!I22</f>
        <v>0</v>
      </c>
      <c r="K43" s="1013">
        <f>industrie!J22</f>
        <v>2.4970942998898189E-2</v>
      </c>
      <c r="L43" s="1013">
        <f>industrie!K22</f>
        <v>0</v>
      </c>
      <c r="M43" s="1013">
        <f>industrie!L22</f>
        <v>0</v>
      </c>
      <c r="N43" s="1013">
        <f>industrie!M22</f>
        <v>0</v>
      </c>
      <c r="O43" s="1013">
        <f>industrie!N22</f>
        <v>0</v>
      </c>
      <c r="P43" s="1013">
        <f>industrie!O22</f>
        <v>0</v>
      </c>
      <c r="Q43" s="774">
        <f>industrie!P22</f>
        <v>0</v>
      </c>
      <c r="R43" s="849">
        <f t="shared" ca="1" si="4"/>
        <v>633.7776877873215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9647.4279672925604</v>
      </c>
      <c r="D46" s="732">
        <f t="shared" ref="D46:Q46" ca="1" si="5">SUM(D39:D45)</f>
        <v>0</v>
      </c>
      <c r="E46" s="732">
        <f t="shared" ca="1" si="5"/>
        <v>18002.893892461587</v>
      </c>
      <c r="F46" s="732">
        <f t="shared" si="5"/>
        <v>392.57440736069771</v>
      </c>
      <c r="G46" s="732">
        <f t="shared" ca="1" si="5"/>
        <v>2269.0577155933279</v>
      </c>
      <c r="H46" s="732">
        <f t="shared" si="5"/>
        <v>0</v>
      </c>
      <c r="I46" s="732">
        <f t="shared" si="5"/>
        <v>0</v>
      </c>
      <c r="J46" s="732">
        <f t="shared" si="5"/>
        <v>0</v>
      </c>
      <c r="K46" s="732">
        <f t="shared" si="5"/>
        <v>3.7397830318288659E-2</v>
      </c>
      <c r="L46" s="732">
        <f t="shared" si="5"/>
        <v>0</v>
      </c>
      <c r="M46" s="732">
        <f t="shared" ca="1" si="5"/>
        <v>0</v>
      </c>
      <c r="N46" s="732">
        <f t="shared" si="5"/>
        <v>0</v>
      </c>
      <c r="O46" s="732">
        <f t="shared" ca="1" si="5"/>
        <v>0</v>
      </c>
      <c r="P46" s="732">
        <f t="shared" si="5"/>
        <v>0</v>
      </c>
      <c r="Q46" s="732">
        <f t="shared" si="5"/>
        <v>0</v>
      </c>
      <c r="R46" s="732">
        <f ca="1">SUM(R39:R45)</f>
        <v>30311.991380538489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1348.9562914734126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1348.9562914734126</v>
      </c>
    </row>
    <row r="50" spans="1:18">
      <c r="A50" s="825" t="s">
        <v>307</v>
      </c>
      <c r="B50" s="835"/>
      <c r="C50" s="703">
        <f ca="1">transport!B18</f>
        <v>9.3905831603224126</v>
      </c>
      <c r="D50" s="703">
        <f>transport!C18</f>
        <v>0</v>
      </c>
      <c r="E50" s="703">
        <f>transport!D18</f>
        <v>29.98221152546304</v>
      </c>
      <c r="F50" s="703">
        <f>transport!E18</f>
        <v>47.427349262594902</v>
      </c>
      <c r="G50" s="703">
        <f>transport!F18</f>
        <v>0</v>
      </c>
      <c r="H50" s="703">
        <f>transport!G18</f>
        <v>22963.234875749451</v>
      </c>
      <c r="I50" s="703">
        <f>transport!H18</f>
        <v>4216.2339900186225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27266.269009716456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9.3905831603224126</v>
      </c>
      <c r="D52" s="732">
        <f t="shared" ref="D52:Q52" ca="1" si="6">SUM(D48:D51)</f>
        <v>0</v>
      </c>
      <c r="E52" s="732">
        <f t="shared" si="6"/>
        <v>29.98221152546304</v>
      </c>
      <c r="F52" s="732">
        <f t="shared" si="6"/>
        <v>47.427349262594902</v>
      </c>
      <c r="G52" s="732">
        <f t="shared" si="6"/>
        <v>0</v>
      </c>
      <c r="H52" s="732">
        <f t="shared" si="6"/>
        <v>24312.191167222863</v>
      </c>
      <c r="I52" s="732">
        <f t="shared" si="6"/>
        <v>4216.2339900186225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28615.225301189868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79.292990039441136</v>
      </c>
      <c r="D54" s="703">
        <f ca="1">+landbouw!C12</f>
        <v>0</v>
      </c>
      <c r="E54" s="703">
        <f>+landbouw!D12</f>
        <v>31.108417736000003</v>
      </c>
      <c r="F54" s="703">
        <f>+landbouw!E12</f>
        <v>2.5508907518829571</v>
      </c>
      <c r="G54" s="703">
        <f>+landbouw!F12</f>
        <v>425.25181714027252</v>
      </c>
      <c r="H54" s="703">
        <f>+landbouw!G12</f>
        <v>0</v>
      </c>
      <c r="I54" s="703">
        <f>+landbouw!H12</f>
        <v>0</v>
      </c>
      <c r="J54" s="703">
        <f>+landbouw!I12</f>
        <v>0</v>
      </c>
      <c r="K54" s="703">
        <f>+landbouw!J12</f>
        <v>19.607786139264057</v>
      </c>
      <c r="L54" s="703">
        <f>+landbouw!K12</f>
        <v>0</v>
      </c>
      <c r="M54" s="703">
        <f>+landbouw!L12</f>
        <v>0</v>
      </c>
      <c r="N54" s="703">
        <f>+landbouw!M12</f>
        <v>0</v>
      </c>
      <c r="O54" s="703">
        <f>+landbouw!N12</f>
        <v>0</v>
      </c>
      <c r="P54" s="703">
        <f>+landbouw!O12</f>
        <v>0</v>
      </c>
      <c r="Q54" s="704">
        <f>+landbouw!P12</f>
        <v>0</v>
      </c>
      <c r="R54" s="731">
        <f ca="1">SUM(C54:Q54)</f>
        <v>557.81190180686065</v>
      </c>
    </row>
    <row r="55" spans="1:18" ht="15" thickBot="1">
      <c r="A55" s="825" t="s">
        <v>836</v>
      </c>
      <c r="B55" s="835"/>
      <c r="C55" s="703">
        <f ca="1">C25*'EF ele_warmte'!B12</f>
        <v>52.837637004629521</v>
      </c>
      <c r="D55" s="703"/>
      <c r="E55" s="703">
        <f>E25*EF_CO2_aardgas</f>
        <v>148.7934424</v>
      </c>
      <c r="F55" s="703"/>
      <c r="G55" s="703"/>
      <c r="H55" s="703"/>
      <c r="I55" s="703"/>
      <c r="J55" s="703"/>
      <c r="K55" s="703"/>
      <c r="L55" s="703"/>
      <c r="M55" s="703"/>
      <c r="N55" s="703"/>
      <c r="O55" s="703"/>
      <c r="P55" s="703"/>
      <c r="Q55" s="704"/>
      <c r="R55" s="731">
        <f ca="1">SUM(C55:Q55)</f>
        <v>201.63107940462953</v>
      </c>
    </row>
    <row r="56" spans="1:18" ht="15.75" thickBot="1">
      <c r="A56" s="823" t="s">
        <v>837</v>
      </c>
      <c r="B56" s="836"/>
      <c r="C56" s="732">
        <f ca="1">SUM(C54:C55)</f>
        <v>132.13062704407065</v>
      </c>
      <c r="D56" s="732">
        <f t="shared" ref="D56:Q56" ca="1" si="7">SUM(D54:D55)</f>
        <v>0</v>
      </c>
      <c r="E56" s="732">
        <f t="shared" si="7"/>
        <v>179.90186013600001</v>
      </c>
      <c r="F56" s="732">
        <f t="shared" si="7"/>
        <v>2.5508907518829571</v>
      </c>
      <c r="G56" s="732">
        <f t="shared" si="7"/>
        <v>425.25181714027252</v>
      </c>
      <c r="H56" s="732">
        <f t="shared" si="7"/>
        <v>0</v>
      </c>
      <c r="I56" s="732">
        <f t="shared" si="7"/>
        <v>0</v>
      </c>
      <c r="J56" s="732">
        <f t="shared" si="7"/>
        <v>0</v>
      </c>
      <c r="K56" s="732">
        <f t="shared" si="7"/>
        <v>19.607786139264057</v>
      </c>
      <c r="L56" s="732">
        <f t="shared" si="7"/>
        <v>0</v>
      </c>
      <c r="M56" s="732">
        <f t="shared" si="7"/>
        <v>0</v>
      </c>
      <c r="N56" s="732">
        <f t="shared" si="7"/>
        <v>0</v>
      </c>
      <c r="O56" s="732">
        <f t="shared" si="7"/>
        <v>0</v>
      </c>
      <c r="P56" s="732">
        <f t="shared" si="7"/>
        <v>0</v>
      </c>
      <c r="Q56" s="733">
        <f t="shared" si="7"/>
        <v>0</v>
      </c>
      <c r="R56" s="734">
        <f ca="1">SUM(R54:R55)</f>
        <v>759.44298121149018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9788.9491774969538</v>
      </c>
      <c r="D61" s="740">
        <f t="shared" ref="D61:Q61" ca="1" si="8">D46+D52+D56</f>
        <v>0</v>
      </c>
      <c r="E61" s="740">
        <f t="shared" ca="1" si="8"/>
        <v>18212.777964123052</v>
      </c>
      <c r="F61" s="740">
        <f t="shared" si="8"/>
        <v>442.55264737517558</v>
      </c>
      <c r="G61" s="740">
        <f t="shared" ca="1" si="8"/>
        <v>2694.3095327336005</v>
      </c>
      <c r="H61" s="740">
        <f t="shared" si="8"/>
        <v>24312.191167222863</v>
      </c>
      <c r="I61" s="740">
        <f t="shared" si="8"/>
        <v>4216.2339900186225</v>
      </c>
      <c r="J61" s="740">
        <f t="shared" si="8"/>
        <v>0</v>
      </c>
      <c r="K61" s="740">
        <f t="shared" si="8"/>
        <v>19.645183969582344</v>
      </c>
      <c r="L61" s="740">
        <f t="shared" si="8"/>
        <v>0</v>
      </c>
      <c r="M61" s="740">
        <f t="shared" ca="1" si="8"/>
        <v>0</v>
      </c>
      <c r="N61" s="740">
        <f t="shared" si="8"/>
        <v>0</v>
      </c>
      <c r="O61" s="740">
        <f t="shared" ca="1" si="8"/>
        <v>0</v>
      </c>
      <c r="P61" s="740">
        <f t="shared" si="8"/>
        <v>0</v>
      </c>
      <c r="Q61" s="740">
        <f t="shared" si="8"/>
        <v>0</v>
      </c>
      <c r="R61" s="740">
        <f ca="1">R46+R52+R56</f>
        <v>59686.659662939848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0.20740227243855971</v>
      </c>
      <c r="D63" s="781">
        <f t="shared" ca="1" si="9"/>
        <v>0</v>
      </c>
      <c r="E63" s="1024">
        <f t="shared" ca="1" si="9"/>
        <v>0.20199999999999996</v>
      </c>
      <c r="F63" s="781">
        <f t="shared" si="9"/>
        <v>0.22700000000000004</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2904.0000875663018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2904.0000875663018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20290.718097630008</v>
      </c>
      <c r="C4" s="477">
        <f>huishoudens!C8</f>
        <v>0</v>
      </c>
      <c r="D4" s="477">
        <f>huishoudens!D8</f>
        <v>54771.832284400007</v>
      </c>
      <c r="E4" s="477">
        <f>huishoudens!E8</f>
        <v>1496.4097247147345</v>
      </c>
      <c r="F4" s="477">
        <f>huishoudens!F8</f>
        <v>4235.3236945483741</v>
      </c>
      <c r="G4" s="477">
        <f>huishoudens!G8</f>
        <v>0</v>
      </c>
      <c r="H4" s="477">
        <f>huishoudens!H8</f>
        <v>0</v>
      </c>
      <c r="I4" s="477">
        <f>huishoudens!I8</f>
        <v>0</v>
      </c>
      <c r="J4" s="477">
        <f>huishoudens!J8</f>
        <v>0</v>
      </c>
      <c r="K4" s="477">
        <f>huishoudens!K8</f>
        <v>0</v>
      </c>
      <c r="L4" s="477">
        <f>huishoudens!L8</f>
        <v>0</v>
      </c>
      <c r="M4" s="477">
        <f>huishoudens!M8</f>
        <v>0</v>
      </c>
      <c r="N4" s="477">
        <f>huishoudens!N8</f>
        <v>8869.0140987909945</v>
      </c>
      <c r="O4" s="477">
        <f>huishoudens!O8</f>
        <v>90.673333333333346</v>
      </c>
      <c r="P4" s="478">
        <f>huishoudens!P8</f>
        <v>514.79999999999995</v>
      </c>
      <c r="Q4" s="479">
        <f>SUM(B4:P4)</f>
        <v>90268.771233417472</v>
      </c>
    </row>
    <row r="5" spans="1:17">
      <c r="A5" s="476" t="s">
        <v>156</v>
      </c>
      <c r="B5" s="477">
        <f ca="1">tertiair!B16</f>
        <v>24214.255370999999</v>
      </c>
      <c r="C5" s="477">
        <f ca="1">tertiair!C16</f>
        <v>0</v>
      </c>
      <c r="D5" s="477">
        <f ca="1">tertiair!D16</f>
        <v>32852.391421057997</v>
      </c>
      <c r="E5" s="477">
        <f>tertiair!E16</f>
        <v>129.46698352770355</v>
      </c>
      <c r="F5" s="477">
        <f ca="1">tertiair!F16</f>
        <v>3931.5671170697515</v>
      </c>
      <c r="G5" s="477">
        <f>tertiair!G16</f>
        <v>0</v>
      </c>
      <c r="H5" s="477">
        <f>tertiair!H16</f>
        <v>0</v>
      </c>
      <c r="I5" s="477">
        <f>tertiair!I16</f>
        <v>0</v>
      </c>
      <c r="J5" s="477">
        <f>tertiair!J16</f>
        <v>3.5104201467204714E-2</v>
      </c>
      <c r="K5" s="477">
        <f>tertiair!K16</f>
        <v>0</v>
      </c>
      <c r="L5" s="477">
        <f ca="1">tertiair!L16</f>
        <v>0</v>
      </c>
      <c r="M5" s="477">
        <f>tertiair!M16</f>
        <v>0</v>
      </c>
      <c r="N5" s="477">
        <f ca="1">tertiair!N16</f>
        <v>1418.5158002491207</v>
      </c>
      <c r="O5" s="477">
        <f>tertiair!O16</f>
        <v>0</v>
      </c>
      <c r="P5" s="478">
        <f>tertiair!P16</f>
        <v>19.066666666666666</v>
      </c>
      <c r="Q5" s="476">
        <f t="shared" ref="Q5:Q14" ca="1" si="0">SUM(B5:P5)</f>
        <v>62565.298463772706</v>
      </c>
    </row>
    <row r="6" spans="1:17">
      <c r="A6" s="476" t="s">
        <v>194</v>
      </c>
      <c r="B6" s="477">
        <f>'openbare verlichting'!B8</f>
        <v>954.86699999999996</v>
      </c>
      <c r="C6" s="477"/>
      <c r="D6" s="477"/>
      <c r="E6" s="477"/>
      <c r="F6" s="477"/>
      <c r="G6" s="477"/>
      <c r="H6" s="477"/>
      <c r="I6" s="477"/>
      <c r="J6" s="477"/>
      <c r="K6" s="477"/>
      <c r="L6" s="477"/>
      <c r="M6" s="477"/>
      <c r="N6" s="477"/>
      <c r="O6" s="477"/>
      <c r="P6" s="478"/>
      <c r="Q6" s="476">
        <f t="shared" si="0"/>
        <v>954.86699999999996</v>
      </c>
    </row>
    <row r="7" spans="1:17">
      <c r="A7" s="476" t="s">
        <v>112</v>
      </c>
      <c r="B7" s="477">
        <f>landbouw!B8</f>
        <v>382.314953</v>
      </c>
      <c r="C7" s="477">
        <f>landbouw!C8</f>
        <v>0</v>
      </c>
      <c r="D7" s="477">
        <f>landbouw!D8</f>
        <v>154.00206800000001</v>
      </c>
      <c r="E7" s="477">
        <f>landbouw!E8</f>
        <v>11.237404193316991</v>
      </c>
      <c r="F7" s="477">
        <f>landbouw!F8</f>
        <v>1592.7034349822941</v>
      </c>
      <c r="G7" s="477">
        <f>landbouw!G8</f>
        <v>0</v>
      </c>
      <c r="H7" s="477">
        <f>landbouw!H8</f>
        <v>0</v>
      </c>
      <c r="I7" s="477">
        <f>landbouw!I8</f>
        <v>0</v>
      </c>
      <c r="J7" s="477">
        <f>landbouw!J8</f>
        <v>55.38922638210186</v>
      </c>
      <c r="K7" s="477">
        <f>landbouw!K8</f>
        <v>0</v>
      </c>
      <c r="L7" s="477">
        <f>landbouw!L8</f>
        <v>0</v>
      </c>
      <c r="M7" s="477">
        <f>landbouw!M8</f>
        <v>0</v>
      </c>
      <c r="N7" s="477">
        <f>landbouw!N8</f>
        <v>0</v>
      </c>
      <c r="O7" s="477">
        <f>landbouw!O8</f>
        <v>0</v>
      </c>
      <c r="P7" s="478">
        <f>landbouw!P8</f>
        <v>0</v>
      </c>
      <c r="Q7" s="476">
        <f t="shared" si="0"/>
        <v>2195.647086557713</v>
      </c>
    </row>
    <row r="8" spans="1:17">
      <c r="A8" s="476" t="s">
        <v>635</v>
      </c>
      <c r="B8" s="477">
        <f>industrie!B18</f>
        <v>1055.6960000000001</v>
      </c>
      <c r="C8" s="477">
        <f>industrie!C18</f>
        <v>0</v>
      </c>
      <c r="D8" s="477">
        <f>industrie!D18</f>
        <v>1499.0133859360001</v>
      </c>
      <c r="E8" s="477">
        <f>industrie!E18</f>
        <v>103.52596735534904</v>
      </c>
      <c r="F8" s="477">
        <f>industrie!F18</f>
        <v>331.45269247673605</v>
      </c>
      <c r="G8" s="477">
        <f>industrie!G18</f>
        <v>0</v>
      </c>
      <c r="H8" s="477">
        <f>industrie!H18</f>
        <v>0</v>
      </c>
      <c r="I8" s="477">
        <f>industrie!I18</f>
        <v>0</v>
      </c>
      <c r="J8" s="477">
        <f>industrie!J18</f>
        <v>7.0539387002537257E-2</v>
      </c>
      <c r="K8" s="477">
        <f>industrie!K18</f>
        <v>0</v>
      </c>
      <c r="L8" s="477">
        <f>industrie!L18</f>
        <v>0</v>
      </c>
      <c r="M8" s="477">
        <f>industrie!M18</f>
        <v>0</v>
      </c>
      <c r="N8" s="477">
        <f>industrie!N18</f>
        <v>143.15068574814549</v>
      </c>
      <c r="O8" s="477">
        <f>industrie!O18</f>
        <v>0</v>
      </c>
      <c r="P8" s="478">
        <f>industrie!P18</f>
        <v>0</v>
      </c>
      <c r="Q8" s="476">
        <f t="shared" si="0"/>
        <v>3132.9092709032334</v>
      </c>
    </row>
    <row r="9" spans="1:17" s="482" customFormat="1">
      <c r="A9" s="480" t="s">
        <v>561</v>
      </c>
      <c r="B9" s="481">
        <f>transport!B14</f>
        <v>45.27714691797437</v>
      </c>
      <c r="C9" s="481">
        <f>transport!C14</f>
        <v>0</v>
      </c>
      <c r="D9" s="481">
        <f>transport!D14</f>
        <v>148.42678973001503</v>
      </c>
      <c r="E9" s="481">
        <f>transport!E14</f>
        <v>208.93105402024185</v>
      </c>
      <c r="F9" s="481">
        <f>transport!F14</f>
        <v>0</v>
      </c>
      <c r="G9" s="481">
        <f>transport!G14</f>
        <v>86004.625002806933</v>
      </c>
      <c r="H9" s="481">
        <f>transport!H14</f>
        <v>16932.666626580813</v>
      </c>
      <c r="I9" s="481">
        <f>transport!I14</f>
        <v>0</v>
      </c>
      <c r="J9" s="481">
        <f>transport!J14</f>
        <v>0</v>
      </c>
      <c r="K9" s="481">
        <f>transport!K14</f>
        <v>0</v>
      </c>
      <c r="L9" s="481">
        <f>transport!L14</f>
        <v>0</v>
      </c>
      <c r="M9" s="481">
        <f>transport!M14</f>
        <v>5524.3931286520101</v>
      </c>
      <c r="N9" s="481">
        <f>transport!N14</f>
        <v>0</v>
      </c>
      <c r="O9" s="481">
        <f>transport!O14</f>
        <v>0</v>
      </c>
      <c r="P9" s="481">
        <f>transport!P14</f>
        <v>0</v>
      </c>
      <c r="Q9" s="480">
        <f>SUM(B9:P9)</f>
        <v>108864.31974870799</v>
      </c>
    </row>
    <row r="10" spans="1:17">
      <c r="A10" s="476" t="s">
        <v>551</v>
      </c>
      <c r="B10" s="477">
        <f>transport!B54</f>
        <v>0</v>
      </c>
      <c r="C10" s="477">
        <f>transport!C54</f>
        <v>0</v>
      </c>
      <c r="D10" s="477">
        <f>transport!D54</f>
        <v>0</v>
      </c>
      <c r="E10" s="477">
        <f>transport!E54</f>
        <v>0</v>
      </c>
      <c r="F10" s="477">
        <f>transport!F54</f>
        <v>0</v>
      </c>
      <c r="G10" s="477">
        <f>transport!G54</f>
        <v>5052.2707545820695</v>
      </c>
      <c r="H10" s="477">
        <f>transport!H54</f>
        <v>0</v>
      </c>
      <c r="I10" s="477">
        <f>transport!I54</f>
        <v>0</v>
      </c>
      <c r="J10" s="477">
        <f>transport!J54</f>
        <v>0</v>
      </c>
      <c r="K10" s="477">
        <f>transport!K54</f>
        <v>0</v>
      </c>
      <c r="L10" s="477">
        <f>transport!L54</f>
        <v>0</v>
      </c>
      <c r="M10" s="477">
        <f>transport!M54</f>
        <v>286.94667522509997</v>
      </c>
      <c r="N10" s="477">
        <f>transport!N54</f>
        <v>0</v>
      </c>
      <c r="O10" s="477">
        <f>transport!O54</f>
        <v>0</v>
      </c>
      <c r="P10" s="478">
        <f>transport!P54</f>
        <v>0</v>
      </c>
      <c r="Q10" s="476">
        <f t="shared" si="0"/>
        <v>5339.2174298071695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254.75920000000002</v>
      </c>
      <c r="C14" s="484"/>
      <c r="D14" s="484">
        <f>'SEAP template'!E25</f>
        <v>736.60119999999995</v>
      </c>
      <c r="E14" s="484"/>
      <c r="F14" s="484"/>
      <c r="G14" s="484"/>
      <c r="H14" s="484"/>
      <c r="I14" s="484"/>
      <c r="J14" s="484"/>
      <c r="K14" s="484"/>
      <c r="L14" s="484"/>
      <c r="M14" s="484"/>
      <c r="N14" s="484"/>
      <c r="O14" s="484"/>
      <c r="P14" s="485"/>
      <c r="Q14" s="476">
        <f t="shared" si="0"/>
        <v>991.36040000000003</v>
      </c>
    </row>
    <row r="15" spans="1:17" s="486" customFormat="1">
      <c r="A15" s="1039" t="s">
        <v>555</v>
      </c>
      <c r="B15" s="987">
        <f ca="1">SUM(B4:B14)</f>
        <v>47197.887768547982</v>
      </c>
      <c r="C15" s="987">
        <f t="shared" ref="C15:Q15" ca="1" si="1">SUM(C4:C14)</f>
        <v>0</v>
      </c>
      <c r="D15" s="987">
        <f t="shared" ca="1" si="1"/>
        <v>90162.267149124033</v>
      </c>
      <c r="E15" s="987">
        <f t="shared" si="1"/>
        <v>1949.5711338113458</v>
      </c>
      <c r="F15" s="987">
        <f t="shared" ca="1" si="1"/>
        <v>10091.046939077156</v>
      </c>
      <c r="G15" s="987">
        <f t="shared" si="1"/>
        <v>91056.895757389007</v>
      </c>
      <c r="H15" s="987">
        <f t="shared" si="1"/>
        <v>16932.666626580813</v>
      </c>
      <c r="I15" s="987">
        <f t="shared" si="1"/>
        <v>0</v>
      </c>
      <c r="J15" s="987">
        <f t="shared" si="1"/>
        <v>55.494869970571607</v>
      </c>
      <c r="K15" s="987">
        <f t="shared" si="1"/>
        <v>0</v>
      </c>
      <c r="L15" s="987">
        <f t="shared" ca="1" si="1"/>
        <v>0</v>
      </c>
      <c r="M15" s="987">
        <f t="shared" si="1"/>
        <v>5811.3398038771102</v>
      </c>
      <c r="N15" s="987">
        <f t="shared" ca="1" si="1"/>
        <v>10430.680584788261</v>
      </c>
      <c r="O15" s="987">
        <f t="shared" si="1"/>
        <v>90.673333333333346</v>
      </c>
      <c r="P15" s="987">
        <f t="shared" si="1"/>
        <v>533.86666666666667</v>
      </c>
      <c r="Q15" s="987">
        <f t="shared" ca="1" si="1"/>
        <v>274312.3906331663</v>
      </c>
    </row>
    <row r="17" spans="1:17">
      <c r="A17" s="487" t="s">
        <v>556</v>
      </c>
      <c r="B17" s="786">
        <f ca="1">huishoudens!B10</f>
        <v>0.20740227243855969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4208.3410428586722</v>
      </c>
      <c r="C22" s="477">
        <f t="shared" ref="C22:C32" ca="1" si="3">C4*$C$17</f>
        <v>0</v>
      </c>
      <c r="D22" s="477">
        <f t="shared" ref="D22:D32" si="4">D4*$D$17</f>
        <v>11063.910121448802</v>
      </c>
      <c r="E22" s="477">
        <f t="shared" ref="E22:E32" si="5">E4*$E$17</f>
        <v>339.68500751024476</v>
      </c>
      <c r="F22" s="477">
        <f t="shared" ref="F22:F32" si="6">F4*$F$17</f>
        <v>1130.8314264444159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16742.767598262133</v>
      </c>
    </row>
    <row r="23" spans="1:17">
      <c r="A23" s="476" t="s">
        <v>156</v>
      </c>
      <c r="B23" s="477">
        <f t="shared" ca="1" si="2"/>
        <v>5022.0915893529991</v>
      </c>
      <c r="C23" s="477">
        <f t="shared" ca="1" si="3"/>
        <v>0</v>
      </c>
      <c r="D23" s="477">
        <f t="shared" ca="1" si="4"/>
        <v>6636.1830670537156</v>
      </c>
      <c r="E23" s="477">
        <f t="shared" si="5"/>
        <v>29.389005260788707</v>
      </c>
      <c r="F23" s="477">
        <f t="shared" ca="1" si="6"/>
        <v>1049.7284202576236</v>
      </c>
      <c r="G23" s="477">
        <f t="shared" si="7"/>
        <v>0</v>
      </c>
      <c r="H23" s="477">
        <f t="shared" si="8"/>
        <v>0</v>
      </c>
      <c r="I23" s="477">
        <f t="shared" si="9"/>
        <v>0</v>
      </c>
      <c r="J23" s="477">
        <f t="shared" si="10"/>
        <v>1.2426887319390468E-2</v>
      </c>
      <c r="K23" s="477">
        <f t="shared" si="11"/>
        <v>0</v>
      </c>
      <c r="L23" s="477">
        <f t="shared" ca="1" si="12"/>
        <v>0</v>
      </c>
      <c r="M23" s="477">
        <f t="shared" si="13"/>
        <v>0</v>
      </c>
      <c r="N23" s="477">
        <f t="shared" ca="1" si="14"/>
        <v>0</v>
      </c>
      <c r="O23" s="477">
        <f t="shared" si="15"/>
        <v>0</v>
      </c>
      <c r="P23" s="478">
        <f t="shared" si="16"/>
        <v>0</v>
      </c>
      <c r="Q23" s="476">
        <f t="shared" ref="Q23:Q32" ca="1" si="17">SUM(B23:P23)</f>
        <v>12737.404508812446</v>
      </c>
    </row>
    <row r="24" spans="1:17">
      <c r="A24" s="476" t="s">
        <v>194</v>
      </c>
      <c r="B24" s="477">
        <f t="shared" ca="1" si="2"/>
        <v>198.04158567659016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198.04158567659016</v>
      </c>
    </row>
    <row r="25" spans="1:17">
      <c r="A25" s="476" t="s">
        <v>112</v>
      </c>
      <c r="B25" s="477">
        <f t="shared" ca="1" si="2"/>
        <v>79.292990039441136</v>
      </c>
      <c r="C25" s="477">
        <f t="shared" ca="1" si="3"/>
        <v>0</v>
      </c>
      <c r="D25" s="477">
        <f t="shared" si="4"/>
        <v>31.108417736000003</v>
      </c>
      <c r="E25" s="477">
        <f t="shared" si="5"/>
        <v>2.5508907518829571</v>
      </c>
      <c r="F25" s="477">
        <f t="shared" si="6"/>
        <v>425.25181714027252</v>
      </c>
      <c r="G25" s="477">
        <f t="shared" si="7"/>
        <v>0</v>
      </c>
      <c r="H25" s="477">
        <f t="shared" si="8"/>
        <v>0</v>
      </c>
      <c r="I25" s="477">
        <f t="shared" si="9"/>
        <v>0</v>
      </c>
      <c r="J25" s="477">
        <f t="shared" si="10"/>
        <v>19.607786139264057</v>
      </c>
      <c r="K25" s="477">
        <f t="shared" si="11"/>
        <v>0</v>
      </c>
      <c r="L25" s="477">
        <f t="shared" si="12"/>
        <v>0</v>
      </c>
      <c r="M25" s="477">
        <f t="shared" si="13"/>
        <v>0</v>
      </c>
      <c r="N25" s="477">
        <f t="shared" si="14"/>
        <v>0</v>
      </c>
      <c r="O25" s="477">
        <f t="shared" si="15"/>
        <v>0</v>
      </c>
      <c r="P25" s="478">
        <f t="shared" si="16"/>
        <v>0</v>
      </c>
      <c r="Q25" s="476">
        <f t="shared" ca="1" si="17"/>
        <v>557.81190180686065</v>
      </c>
    </row>
    <row r="26" spans="1:17">
      <c r="A26" s="476" t="s">
        <v>635</v>
      </c>
      <c r="B26" s="477">
        <f t="shared" ca="1" si="2"/>
        <v>218.95374940429772</v>
      </c>
      <c r="C26" s="477">
        <f t="shared" ca="1" si="3"/>
        <v>0</v>
      </c>
      <c r="D26" s="477">
        <f t="shared" si="4"/>
        <v>302.80070395907205</v>
      </c>
      <c r="E26" s="477">
        <f t="shared" si="5"/>
        <v>23.500394589664232</v>
      </c>
      <c r="F26" s="477">
        <f t="shared" si="6"/>
        <v>88.497868891288533</v>
      </c>
      <c r="G26" s="477">
        <f t="shared" si="7"/>
        <v>0</v>
      </c>
      <c r="H26" s="477">
        <f t="shared" si="8"/>
        <v>0</v>
      </c>
      <c r="I26" s="477">
        <f t="shared" si="9"/>
        <v>0</v>
      </c>
      <c r="J26" s="477">
        <f t="shared" si="10"/>
        <v>2.4970942998898189E-2</v>
      </c>
      <c r="K26" s="477">
        <f t="shared" si="11"/>
        <v>0</v>
      </c>
      <c r="L26" s="477">
        <f t="shared" si="12"/>
        <v>0</v>
      </c>
      <c r="M26" s="477">
        <f t="shared" si="13"/>
        <v>0</v>
      </c>
      <c r="N26" s="477">
        <f t="shared" si="14"/>
        <v>0</v>
      </c>
      <c r="O26" s="477">
        <f t="shared" si="15"/>
        <v>0</v>
      </c>
      <c r="P26" s="478">
        <f t="shared" si="16"/>
        <v>0</v>
      </c>
      <c r="Q26" s="476">
        <f t="shared" ca="1" si="17"/>
        <v>633.7776877873215</v>
      </c>
    </row>
    <row r="27" spans="1:17" s="482" customFormat="1">
      <c r="A27" s="480" t="s">
        <v>561</v>
      </c>
      <c r="B27" s="780">
        <f t="shared" ca="1" si="2"/>
        <v>9.3905831603224126</v>
      </c>
      <c r="C27" s="481">
        <f t="shared" ca="1" si="3"/>
        <v>0</v>
      </c>
      <c r="D27" s="481">
        <f t="shared" si="4"/>
        <v>29.98221152546304</v>
      </c>
      <c r="E27" s="481">
        <f t="shared" si="5"/>
        <v>47.427349262594902</v>
      </c>
      <c r="F27" s="481">
        <f t="shared" si="6"/>
        <v>0</v>
      </c>
      <c r="G27" s="481">
        <f t="shared" si="7"/>
        <v>22963.234875749451</v>
      </c>
      <c r="H27" s="481">
        <f t="shared" si="8"/>
        <v>4216.2339900186225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27266.269009716456</v>
      </c>
    </row>
    <row r="28" spans="1:17">
      <c r="A28" s="476" t="s">
        <v>551</v>
      </c>
      <c r="B28" s="477">
        <f t="shared" ca="1" si="2"/>
        <v>0</v>
      </c>
      <c r="C28" s="477">
        <f t="shared" ca="1" si="3"/>
        <v>0</v>
      </c>
      <c r="D28" s="477">
        <f t="shared" si="4"/>
        <v>0</v>
      </c>
      <c r="E28" s="477">
        <f t="shared" si="5"/>
        <v>0</v>
      </c>
      <c r="F28" s="477">
        <f t="shared" si="6"/>
        <v>0</v>
      </c>
      <c r="G28" s="477">
        <f t="shared" si="7"/>
        <v>1348.9562914734126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1348.9562914734126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52.837637004629521</v>
      </c>
      <c r="C32" s="477">
        <f t="shared" ca="1" si="3"/>
        <v>0</v>
      </c>
      <c r="D32" s="477">
        <f t="shared" si="4"/>
        <v>148.7934424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201.63107940462953</v>
      </c>
    </row>
    <row r="33" spans="1:17" s="486" customFormat="1">
      <c r="A33" s="1039" t="s">
        <v>555</v>
      </c>
      <c r="B33" s="987">
        <f ca="1">SUM(B22:B32)</f>
        <v>9788.9491774969538</v>
      </c>
      <c r="C33" s="987">
        <f t="shared" ref="C33:Q33" ca="1" si="18">SUM(C22:C32)</f>
        <v>0</v>
      </c>
      <c r="D33" s="987">
        <f t="shared" ca="1" si="18"/>
        <v>18212.777964123055</v>
      </c>
      <c r="E33" s="987">
        <f t="shared" si="18"/>
        <v>442.55264737517552</v>
      </c>
      <c r="F33" s="987">
        <f t="shared" ca="1" si="18"/>
        <v>2694.3095327336005</v>
      </c>
      <c r="G33" s="987">
        <f t="shared" si="18"/>
        <v>24312.191167222863</v>
      </c>
      <c r="H33" s="987">
        <f t="shared" si="18"/>
        <v>4216.2339900186225</v>
      </c>
      <c r="I33" s="987">
        <f t="shared" si="18"/>
        <v>0</v>
      </c>
      <c r="J33" s="987">
        <f t="shared" si="18"/>
        <v>19.645183969582344</v>
      </c>
      <c r="K33" s="987">
        <f t="shared" si="18"/>
        <v>0</v>
      </c>
      <c r="L33" s="987">
        <f t="shared" ca="1" si="18"/>
        <v>0</v>
      </c>
      <c r="M33" s="987">
        <f t="shared" si="18"/>
        <v>0</v>
      </c>
      <c r="N33" s="987">
        <f t="shared" ca="1" si="18"/>
        <v>0</v>
      </c>
      <c r="O33" s="987">
        <f t="shared" si="18"/>
        <v>0</v>
      </c>
      <c r="P33" s="987">
        <f t="shared" si="18"/>
        <v>0</v>
      </c>
      <c r="Q33" s="987">
        <f t="shared" ca="1" si="18"/>
        <v>59686.659662939848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2904.0000875663018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2904.0000875663018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0.20740227243855969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0.20740227243855969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0.20740227243855969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0.20740227243855969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4704</v>
      </c>
      <c r="C9" s="342">
        <v>5127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692.76</v>
      </c>
    </row>
    <row r="15" spans="1:6">
      <c r="A15" s="348" t="s">
        <v>184</v>
      </c>
      <c r="B15" s="334">
        <v>0</v>
      </c>
    </row>
    <row r="16" spans="1:6">
      <c r="A16" s="348" t="s">
        <v>6</v>
      </c>
      <c r="B16" s="334">
        <v>0</v>
      </c>
    </row>
    <row r="17" spans="1:6">
      <c r="A17" s="348" t="s">
        <v>7</v>
      </c>
      <c r="B17" s="334">
        <v>21</v>
      </c>
    </row>
    <row r="18" spans="1:6">
      <c r="A18" s="348" t="s">
        <v>8</v>
      </c>
      <c r="B18" s="334">
        <v>16</v>
      </c>
    </row>
    <row r="19" spans="1:6">
      <c r="A19" s="348" t="s">
        <v>9</v>
      </c>
      <c r="B19" s="334">
        <v>22</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56</v>
      </c>
    </row>
    <row r="27" spans="1:6">
      <c r="A27" s="348" t="s">
        <v>17</v>
      </c>
      <c r="B27" s="334">
        <v>3</v>
      </c>
    </row>
    <row r="28" spans="1:6" s="356" customFormat="1">
      <c r="A28" s="355" t="s">
        <v>18</v>
      </c>
      <c r="B28" s="355">
        <v>0</v>
      </c>
    </row>
    <row r="29" spans="1:6">
      <c r="A29" s="355" t="s">
        <v>744</v>
      </c>
      <c r="B29" s="355">
        <v>28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10153</v>
      </c>
    </row>
    <row r="37" spans="1:6">
      <c r="A37" s="348" t="s">
        <v>25</v>
      </c>
      <c r="B37" s="348" t="s">
        <v>28</v>
      </c>
      <c r="C37" s="334">
        <v>0</v>
      </c>
      <c r="D37" s="334">
        <v>0</v>
      </c>
      <c r="E37" s="334">
        <v>0</v>
      </c>
      <c r="F37" s="334">
        <v>0</v>
      </c>
    </row>
    <row r="38" spans="1:6">
      <c r="A38" s="348" t="s">
        <v>25</v>
      </c>
      <c r="B38" s="348" t="s">
        <v>29</v>
      </c>
      <c r="C38" s="334">
        <v>0</v>
      </c>
      <c r="D38" s="334">
        <v>0</v>
      </c>
      <c r="E38" s="334">
        <v>2</v>
      </c>
      <c r="F38" s="334">
        <v>3375</v>
      </c>
    </row>
    <row r="39" spans="1:6">
      <c r="A39" s="348" t="s">
        <v>30</v>
      </c>
      <c r="B39" s="348" t="s">
        <v>31</v>
      </c>
      <c r="C39" s="334">
        <v>3441</v>
      </c>
      <c r="D39" s="334">
        <v>60722652.200000003</v>
      </c>
      <c r="E39" s="334">
        <v>4653</v>
      </c>
      <c r="F39" s="334">
        <v>17767899.899999999</v>
      </c>
    </row>
    <row r="40" spans="1:6">
      <c r="A40" s="348" t="s">
        <v>30</v>
      </c>
      <c r="B40" s="348" t="s">
        <v>29</v>
      </c>
      <c r="C40" s="334">
        <v>0</v>
      </c>
      <c r="D40" s="334">
        <v>0</v>
      </c>
      <c r="E40" s="334">
        <v>0</v>
      </c>
      <c r="F40" s="334">
        <v>0</v>
      </c>
    </row>
    <row r="41" spans="1:6">
      <c r="A41" s="348" t="s">
        <v>32</v>
      </c>
      <c r="B41" s="348" t="s">
        <v>33</v>
      </c>
      <c r="C41" s="334">
        <v>35</v>
      </c>
      <c r="D41" s="334">
        <v>769300</v>
      </c>
      <c r="E41" s="334">
        <v>65</v>
      </c>
      <c r="F41" s="334">
        <v>335976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385463</v>
      </c>
    </row>
    <row r="45" spans="1:6">
      <c r="A45" s="348" t="s">
        <v>32</v>
      </c>
      <c r="B45" s="348" t="s">
        <v>37</v>
      </c>
      <c r="C45" s="334">
        <v>0</v>
      </c>
      <c r="D45" s="334">
        <v>0</v>
      </c>
      <c r="E45" s="334">
        <v>3</v>
      </c>
      <c r="F45" s="334">
        <v>6520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133552</v>
      </c>
      <c r="E48" s="334">
        <v>3</v>
      </c>
      <c r="F48" s="334">
        <v>16711</v>
      </c>
    </row>
    <row r="49" spans="1:6">
      <c r="A49" s="348" t="s">
        <v>32</v>
      </c>
      <c r="B49" s="348" t="s">
        <v>40</v>
      </c>
      <c r="C49" s="334">
        <v>0</v>
      </c>
      <c r="D49" s="334">
        <v>0</v>
      </c>
      <c r="E49" s="334">
        <v>0</v>
      </c>
      <c r="F49" s="334">
        <v>0</v>
      </c>
    </row>
    <row r="50" spans="1:6">
      <c r="A50" s="348" t="s">
        <v>32</v>
      </c>
      <c r="B50" s="348" t="s">
        <v>41</v>
      </c>
      <c r="C50" s="334">
        <v>6</v>
      </c>
      <c r="D50" s="334">
        <v>759025.36800000002</v>
      </c>
      <c r="E50" s="334">
        <v>8</v>
      </c>
      <c r="F50" s="334">
        <v>311026</v>
      </c>
    </row>
    <row r="51" spans="1:6">
      <c r="A51" s="348" t="s">
        <v>42</v>
      </c>
      <c r="B51" s="348" t="s">
        <v>43</v>
      </c>
      <c r="C51" s="334">
        <v>8</v>
      </c>
      <c r="D51" s="334">
        <v>170734</v>
      </c>
      <c r="E51" s="334">
        <v>22</v>
      </c>
      <c r="F51" s="334">
        <v>382314.95299999998</v>
      </c>
    </row>
    <row r="52" spans="1:6">
      <c r="A52" s="348" t="s">
        <v>42</v>
      </c>
      <c r="B52" s="348" t="s">
        <v>29</v>
      </c>
      <c r="C52" s="334">
        <v>0</v>
      </c>
      <c r="D52" s="334">
        <v>0</v>
      </c>
      <c r="E52" s="334">
        <v>0</v>
      </c>
      <c r="F52" s="334">
        <v>0</v>
      </c>
    </row>
    <row r="53" spans="1:6">
      <c r="A53" s="348" t="s">
        <v>44</v>
      </c>
      <c r="B53" s="348" t="s">
        <v>45</v>
      </c>
      <c r="C53" s="334">
        <v>30</v>
      </c>
      <c r="D53" s="334">
        <v>736601.2</v>
      </c>
      <c r="E53" s="334">
        <v>59</v>
      </c>
      <c r="F53" s="334">
        <v>254759.2</v>
      </c>
    </row>
    <row r="54" spans="1:6">
      <c r="A54" s="348" t="s">
        <v>46</v>
      </c>
      <c r="B54" s="348" t="s">
        <v>47</v>
      </c>
      <c r="C54" s="334">
        <v>0</v>
      </c>
      <c r="D54" s="334">
        <v>0</v>
      </c>
      <c r="E54" s="334">
        <v>1</v>
      </c>
      <c r="F54" s="334">
        <v>954867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4217082</v>
      </c>
      <c r="E57" s="334">
        <v>57</v>
      </c>
      <c r="F57" s="334">
        <v>1617252</v>
      </c>
    </row>
    <row r="58" spans="1:6">
      <c r="A58" s="348" t="s">
        <v>49</v>
      </c>
      <c r="B58" s="348" t="s">
        <v>51</v>
      </c>
      <c r="C58" s="334">
        <v>23</v>
      </c>
      <c r="D58" s="334">
        <v>2992561.2859999998</v>
      </c>
      <c r="E58" s="334">
        <v>26</v>
      </c>
      <c r="F58" s="334">
        <v>1559842</v>
      </c>
    </row>
    <row r="59" spans="1:6">
      <c r="A59" s="348" t="s">
        <v>49</v>
      </c>
      <c r="B59" s="348" t="s">
        <v>52</v>
      </c>
      <c r="C59" s="334">
        <v>56</v>
      </c>
      <c r="D59" s="334">
        <v>2527479.0529999998</v>
      </c>
      <c r="E59" s="334">
        <v>104</v>
      </c>
      <c r="F59" s="334">
        <v>3146381.1579999998</v>
      </c>
    </row>
    <row r="60" spans="1:6">
      <c r="A60" s="348" t="s">
        <v>49</v>
      </c>
      <c r="B60" s="348" t="s">
        <v>53</v>
      </c>
      <c r="C60" s="334">
        <v>34</v>
      </c>
      <c r="D60" s="334">
        <v>1495707.4</v>
      </c>
      <c r="E60" s="334">
        <v>44</v>
      </c>
      <c r="F60" s="334">
        <v>838163.38500000001</v>
      </c>
    </row>
    <row r="61" spans="1:6">
      <c r="A61" s="348" t="s">
        <v>49</v>
      </c>
      <c r="B61" s="348" t="s">
        <v>54</v>
      </c>
      <c r="C61" s="334">
        <v>132</v>
      </c>
      <c r="D61" s="334">
        <v>24776314.239999998</v>
      </c>
      <c r="E61" s="334">
        <v>227</v>
      </c>
      <c r="F61" s="334">
        <v>16972156.090999998</v>
      </c>
    </row>
    <row r="62" spans="1:6">
      <c r="A62" s="348" t="s">
        <v>49</v>
      </c>
      <c r="B62" s="348" t="s">
        <v>55</v>
      </c>
      <c r="C62" s="334">
        <v>6</v>
      </c>
      <c r="D62" s="334">
        <v>412576</v>
      </c>
      <c r="E62" s="334">
        <v>7</v>
      </c>
      <c r="F62" s="334">
        <v>80460.736999999994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19812</v>
      </c>
      <c r="E65" s="334">
        <v>1</v>
      </c>
      <c r="F65" s="334">
        <v>2760</v>
      </c>
    </row>
    <row r="66" spans="1:6">
      <c r="A66" s="348" t="s">
        <v>56</v>
      </c>
      <c r="B66" s="348" t="s">
        <v>58</v>
      </c>
      <c r="C66" s="334">
        <v>0</v>
      </c>
      <c r="D66" s="334">
        <v>0</v>
      </c>
      <c r="E66" s="334">
        <v>10</v>
      </c>
      <c r="F66" s="334">
        <v>230271.46900000001</v>
      </c>
    </row>
    <row r="67" spans="1:6">
      <c r="A67" s="355" t="s">
        <v>56</v>
      </c>
      <c r="B67" s="355" t="s">
        <v>59</v>
      </c>
      <c r="C67" s="334">
        <v>0</v>
      </c>
      <c r="D67" s="334">
        <v>0</v>
      </c>
      <c r="E67" s="334">
        <v>0</v>
      </c>
      <c r="F67" s="334">
        <v>0</v>
      </c>
    </row>
    <row r="68" spans="1:6">
      <c r="A68" s="341" t="s">
        <v>56</v>
      </c>
      <c r="B68" s="341" t="s">
        <v>60</v>
      </c>
      <c r="C68" s="334">
        <v>3</v>
      </c>
      <c r="D68" s="334">
        <v>67872</v>
      </c>
      <c r="E68" s="334">
        <v>10</v>
      </c>
      <c r="F68" s="334">
        <v>150376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81325341</v>
      </c>
      <c r="E73" s="475">
        <v>94732608.195531756</v>
      </c>
    </row>
    <row r="74" spans="1:6">
      <c r="A74" s="348" t="s">
        <v>64</v>
      </c>
      <c r="B74" s="348" t="s">
        <v>657</v>
      </c>
      <c r="C74" s="1295" t="s">
        <v>659</v>
      </c>
      <c r="D74" s="475">
        <v>8866192.5</v>
      </c>
      <c r="E74" s="475">
        <v>9624253.9897993766</v>
      </c>
    </row>
    <row r="75" spans="1:6">
      <c r="A75" s="348" t="s">
        <v>65</v>
      </c>
      <c r="B75" s="348" t="s">
        <v>656</v>
      </c>
      <c r="C75" s="1295" t="s">
        <v>660</v>
      </c>
      <c r="D75" s="475">
        <v>12488965</v>
      </c>
      <c r="E75" s="475">
        <v>14957653.907671362</v>
      </c>
    </row>
    <row r="76" spans="1:6">
      <c r="A76" s="348" t="s">
        <v>65</v>
      </c>
      <c r="B76" s="348" t="s">
        <v>657</v>
      </c>
      <c r="C76" s="1295" t="s">
        <v>661</v>
      </c>
      <c r="D76" s="475">
        <v>1228781.5</v>
      </c>
      <c r="E76" s="475">
        <v>1398603.7504708762</v>
      </c>
    </row>
    <row r="77" spans="1:6">
      <c r="A77" s="348" t="s">
        <v>66</v>
      </c>
      <c r="B77" s="348" t="s">
        <v>656</v>
      </c>
      <c r="C77" s="1295" t="s">
        <v>662</v>
      </c>
      <c r="D77" s="475">
        <v>21276608</v>
      </c>
      <c r="E77" s="475">
        <v>21695744.703356072</v>
      </c>
    </row>
    <row r="78" spans="1:6">
      <c r="A78" s="341" t="s">
        <v>66</v>
      </c>
      <c r="B78" s="341" t="s">
        <v>657</v>
      </c>
      <c r="C78" s="341" t="s">
        <v>663</v>
      </c>
      <c r="D78" s="1296">
        <v>2658066</v>
      </c>
      <c r="E78" s="1296">
        <v>2715572.5508624748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1448085</v>
      </c>
      <c r="C83" s="475">
        <v>1450055.4549196439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2522.8181976300125</v>
      </c>
    </row>
    <row r="92" spans="1:6">
      <c r="A92" s="341" t="s">
        <v>69</v>
      </c>
      <c r="B92" s="342">
        <v>381.18188993628934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47197.887768547982</v>
      </c>
      <c r="C3" s="43" t="s">
        <v>170</v>
      </c>
      <c r="D3" s="43"/>
      <c r="E3" s="154"/>
      <c r="F3" s="43"/>
      <c r="G3" s="43"/>
      <c r="H3" s="43"/>
      <c r="I3" s="43"/>
      <c r="J3" s="43"/>
      <c r="K3" s="96"/>
    </row>
    <row r="4" spans="1:11">
      <c r="A4" s="383" t="s">
        <v>171</v>
      </c>
      <c r="B4" s="49">
        <f>IF(ISERROR('SEAP template'!B78+'SEAP template'!C78),0,'SEAP template'!B78+'SEAP template'!C78)</f>
        <v>2904.0000875663018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0.20740227243855969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954.86699999999996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954.86699999999996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0.20740227243855969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198.04158567659016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17767.899899999997</v>
      </c>
      <c r="C5" s="17">
        <f>IF(ISERROR('Eigen informatie GS &amp; warmtenet'!B57),0,'Eigen informatie GS &amp; warmtenet'!B57)</f>
        <v>0</v>
      </c>
      <c r="D5" s="30">
        <f>(SUM(HH_hh_gas_kWh,HH_rest_gas_kWh)/1000)*0.902</f>
        <v>54771.832284400007</v>
      </c>
      <c r="E5" s="17">
        <f>B46*B57</f>
        <v>1496.4097247147345</v>
      </c>
      <c r="F5" s="17">
        <f>B51*B62</f>
        <v>4235.3236945483741</v>
      </c>
      <c r="G5" s="18"/>
      <c r="H5" s="17"/>
      <c r="I5" s="17"/>
      <c r="J5" s="17">
        <f>B50*B61+C50*C61</f>
        <v>0</v>
      </c>
      <c r="K5" s="17"/>
      <c r="L5" s="17"/>
      <c r="M5" s="17"/>
      <c r="N5" s="17">
        <f>B48*B59+C48*C59</f>
        <v>8869.0140987909945</v>
      </c>
      <c r="O5" s="17">
        <f>B69*B70*B71</f>
        <v>90.673333333333346</v>
      </c>
      <c r="P5" s="17">
        <f>B77*B78*B79/1000-B77*B78*B79/1000/B80</f>
        <v>514.79999999999995</v>
      </c>
    </row>
    <row r="6" spans="1:16">
      <c r="A6" s="16" t="s">
        <v>621</v>
      </c>
      <c r="B6" s="788">
        <f>kWh_PV_kleiner_dan_10kW</f>
        <v>2522.8181976300125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20290.718097630008</v>
      </c>
      <c r="C8" s="21">
        <f>C5</f>
        <v>0</v>
      </c>
      <c r="D8" s="21">
        <f>D5</f>
        <v>54771.832284400007</v>
      </c>
      <c r="E8" s="21">
        <f>E5</f>
        <v>1496.4097247147345</v>
      </c>
      <c r="F8" s="21">
        <f>F5</f>
        <v>4235.3236945483741</v>
      </c>
      <c r="G8" s="21"/>
      <c r="H8" s="21"/>
      <c r="I8" s="21"/>
      <c r="J8" s="21">
        <f>J5</f>
        <v>0</v>
      </c>
      <c r="K8" s="21"/>
      <c r="L8" s="21">
        <f>L5</f>
        <v>0</v>
      </c>
      <c r="M8" s="21">
        <f>M5</f>
        <v>0</v>
      </c>
      <c r="N8" s="21">
        <f>N5</f>
        <v>8869.0140987909945</v>
      </c>
      <c r="O8" s="21">
        <f>O5</f>
        <v>90.673333333333346</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0.20740227243855969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4208.3410428586722</v>
      </c>
      <c r="C12" s="23">
        <f ca="1">C10*C8</f>
        <v>0</v>
      </c>
      <c r="D12" s="23">
        <f>D8*D10</f>
        <v>11063.910121448802</v>
      </c>
      <c r="E12" s="23">
        <f>E10*E8</f>
        <v>339.68500751024476</v>
      </c>
      <c r="F12" s="23">
        <f>F10*F8</f>
        <v>1130.8314264444159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4704</v>
      </c>
      <c r="C28" s="36"/>
      <c r="D28" s="228"/>
    </row>
    <row r="29" spans="1:7" s="15" customFormat="1">
      <c r="A29" s="230" t="s">
        <v>794</v>
      </c>
      <c r="B29" s="37">
        <f>SUM(HH_hh_gas_aantal,HH_rest_gas_aantal)</f>
        <v>3441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3441</v>
      </c>
      <c r="C32" s="167">
        <f>IF(ISERROR(B32/SUM($B$32,$B$34,$B$35,$B$36,$B$38,$B$39)*100),0,B32/SUM($B$32,$B$34,$B$35,$B$36,$B$38,$B$39)*100)</f>
        <v>73.572803078896726</v>
      </c>
      <c r="D32" s="233"/>
      <c r="G32" s="15"/>
    </row>
    <row r="33" spans="1:7">
      <c r="A33" s="171" t="s">
        <v>72</v>
      </c>
      <c r="B33" s="34" t="s">
        <v>111</v>
      </c>
      <c r="C33" s="167"/>
      <c r="D33" s="233"/>
      <c r="G33" s="15"/>
    </row>
    <row r="34" spans="1:7">
      <c r="A34" s="171" t="s">
        <v>73</v>
      </c>
      <c r="B34" s="33">
        <f>IF((($B$28-$B$32-$B$39-$B$77-$B$38)*C20/100)&lt;0,0,($B$28-$B$32-$B$39-$B$77-$B$38)*C20/100)</f>
        <v>70.673925501432663</v>
      </c>
      <c r="C34" s="167">
        <f>IF(ISERROR(B34/SUM($B$32,$B$34,$B$35,$B$36,$B$38,$B$39)*100),0,B34/SUM($B$32,$B$34,$B$35,$B$36,$B$38,$B$39)*100)</f>
        <v>1.5110952640887889</v>
      </c>
      <c r="D34" s="233"/>
      <c r="G34" s="15"/>
    </row>
    <row r="35" spans="1:7">
      <c r="A35" s="171" t="s">
        <v>74</v>
      </c>
      <c r="B35" s="33">
        <f>IF((($B$28-$B$32-$B$39-$B$77-$B$38)*C21/100)&lt;0,0,($B$28-$B$32-$B$39-$B$77-$B$38)*C21/100)</f>
        <v>878.81489971346718</v>
      </c>
      <c r="C35" s="167">
        <f>IF(ISERROR(B35/SUM($B$32,$B$34,$B$35,$B$36,$B$38,$B$39)*100),0,B35/SUM($B$32,$B$34,$B$35,$B$36,$B$38,$B$39)*100)</f>
        <v>18.790141109973639</v>
      </c>
      <c r="D35" s="233"/>
      <c r="G35" s="15"/>
    </row>
    <row r="36" spans="1:7">
      <c r="A36" s="171" t="s">
        <v>75</v>
      </c>
      <c r="B36" s="33">
        <f>IF((($B$28-$B$32-$B$39-$B$77-$B$38)*C22/100)&lt;0,0,($B$28-$B$32-$B$39-$B$77-$B$38)*C22/100)</f>
        <v>122.9111747851003</v>
      </c>
      <c r="C36" s="167">
        <f>IF(ISERROR(B36/SUM($B$32,$B$34,$B$35,$B$36,$B$38,$B$39)*100),0,B36/SUM($B$32,$B$34,$B$35,$B$36,$B$38,$B$39)*100)</f>
        <v>2.6279917636326768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163.59999999999991</v>
      </c>
      <c r="C39" s="167">
        <f>IF(ISERROR(B39/SUM($B$32,$B$34,$B$35,$B$36,$B$38,$B$39)*100),0,B39/SUM($B$32,$B$34,$B$35,$B$36,$B$38,$B$39)*100)</f>
        <v>3.4979687834081661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3441</v>
      </c>
      <c r="C44" s="34" t="s">
        <v>111</v>
      </c>
      <c r="D44" s="174"/>
    </row>
    <row r="45" spans="1:7">
      <c r="A45" s="171" t="s">
        <v>72</v>
      </c>
      <c r="B45" s="33" t="str">
        <f t="shared" si="0"/>
        <v>-</v>
      </c>
      <c r="C45" s="34" t="s">
        <v>111</v>
      </c>
      <c r="D45" s="174"/>
    </row>
    <row r="46" spans="1:7">
      <c r="A46" s="171" t="s">
        <v>73</v>
      </c>
      <c r="B46" s="33">
        <f t="shared" si="0"/>
        <v>70.673925501432663</v>
      </c>
      <c r="C46" s="34" t="s">
        <v>111</v>
      </c>
      <c r="D46" s="174"/>
    </row>
    <row r="47" spans="1:7">
      <c r="A47" s="171" t="s">
        <v>74</v>
      </c>
      <c r="B47" s="33">
        <f t="shared" si="0"/>
        <v>878.81489971346718</v>
      </c>
      <c r="C47" s="34" t="s">
        <v>111</v>
      </c>
      <c r="D47" s="174"/>
    </row>
    <row r="48" spans="1:7">
      <c r="A48" s="171" t="s">
        <v>75</v>
      </c>
      <c r="B48" s="33">
        <f t="shared" si="0"/>
        <v>122.9111747851003</v>
      </c>
      <c r="C48" s="33">
        <f>B48*10</f>
        <v>1229.111747851003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24214.255370999999</v>
      </c>
      <c r="C5" s="17">
        <f>IF(ISERROR('Eigen informatie GS &amp; warmtenet'!B58),0,'Eigen informatie GS &amp; warmtenet'!B58)</f>
        <v>0</v>
      </c>
      <c r="D5" s="30">
        <f>SUM(D6:D12)</f>
        <v>32852.391421057997</v>
      </c>
      <c r="E5" s="17">
        <f>SUM(E6:E12)</f>
        <v>129.46698352770355</v>
      </c>
      <c r="F5" s="17">
        <f>SUM(F6:F12)</f>
        <v>3931.5671170697515</v>
      </c>
      <c r="G5" s="18"/>
      <c r="H5" s="17"/>
      <c r="I5" s="17"/>
      <c r="J5" s="17">
        <f>SUM(J6:J12)</f>
        <v>3.5104201467204714E-2</v>
      </c>
      <c r="K5" s="17"/>
      <c r="L5" s="17"/>
      <c r="M5" s="17"/>
      <c r="N5" s="17">
        <f>SUM(N6:N12)</f>
        <v>1418.5158002491207</v>
      </c>
      <c r="O5" s="17">
        <f>B38*B39*B40</f>
        <v>0</v>
      </c>
      <c r="P5" s="17">
        <f>B46*B47*B48/1000-B46*B47*B48/1000/B49</f>
        <v>19.066666666666666</v>
      </c>
      <c r="R5" s="32"/>
    </row>
    <row r="6" spans="1:18">
      <c r="A6" s="32" t="s">
        <v>54</v>
      </c>
      <c r="B6" s="37">
        <f>B26</f>
        <v>16972.156090999997</v>
      </c>
      <c r="C6" s="33"/>
      <c r="D6" s="37">
        <f>IF(ISERROR(TER_kantoor_gas_kWh/1000),0,TER_kantoor_gas_kWh/1000)*0.902</f>
        <v>22348.23544448</v>
      </c>
      <c r="E6" s="33">
        <f>$C$26*'E Balans VL '!I12/100/3.6*1000000</f>
        <v>0.10637582952770666</v>
      </c>
      <c r="F6" s="33">
        <f>$C$26*('E Balans VL '!L12+'E Balans VL '!N12)/100/3.6*1000000</f>
        <v>2550.4408132053704</v>
      </c>
      <c r="G6" s="34"/>
      <c r="H6" s="33"/>
      <c r="I6" s="33"/>
      <c r="J6" s="33">
        <f>$C$26*('E Balans VL '!D12+'E Balans VL '!E12)/100/3.6*1000000</f>
        <v>0</v>
      </c>
      <c r="K6" s="33"/>
      <c r="L6" s="33"/>
      <c r="M6" s="33"/>
      <c r="N6" s="33">
        <f>$C$26*'E Balans VL '!Y12/100/3.6*1000000</f>
        <v>16.231350902740974</v>
      </c>
      <c r="O6" s="33"/>
      <c r="P6" s="33"/>
      <c r="R6" s="32"/>
    </row>
    <row r="7" spans="1:18">
      <c r="A7" s="32" t="s">
        <v>53</v>
      </c>
      <c r="B7" s="37">
        <f t="shared" ref="B7:B12" si="0">B27</f>
        <v>838.16338500000006</v>
      </c>
      <c r="C7" s="33"/>
      <c r="D7" s="37">
        <f>IF(ISERROR(TER_horeca_gas_kWh/1000),0,TER_horeca_gas_kWh/1000)*0.902</f>
        <v>1349.1280748000001</v>
      </c>
      <c r="E7" s="33">
        <f>$C$27*'E Balans VL '!I9/100/3.6*1000000</f>
        <v>12.002360061831604</v>
      </c>
      <c r="F7" s="33">
        <f>$C$27*('E Balans VL '!L9+'E Balans VL '!N9)/100/3.6*1000000</f>
        <v>106.13912823443447</v>
      </c>
      <c r="G7" s="34"/>
      <c r="H7" s="33"/>
      <c r="I7" s="33"/>
      <c r="J7" s="33">
        <f>$C$27*('E Balans VL '!D9+'E Balans VL '!E9)/100/3.6*1000000</f>
        <v>0</v>
      </c>
      <c r="K7" s="33"/>
      <c r="L7" s="33"/>
      <c r="M7" s="33"/>
      <c r="N7" s="33">
        <f>$C$27*'E Balans VL '!Y9/100/3.6*1000000</f>
        <v>0.24095349327117058</v>
      </c>
      <c r="O7" s="33"/>
      <c r="P7" s="33"/>
      <c r="R7" s="32"/>
    </row>
    <row r="8" spans="1:18">
      <c r="A8" s="6" t="s">
        <v>52</v>
      </c>
      <c r="B8" s="37">
        <f t="shared" si="0"/>
        <v>3146.3811579999997</v>
      </c>
      <c r="C8" s="33"/>
      <c r="D8" s="37">
        <f>IF(ISERROR(TER_handel_gas_kWh/1000),0,TER_handel_gas_kWh/1000)*0.902</f>
        <v>2279.7861058060003</v>
      </c>
      <c r="E8" s="33">
        <f>$C$28*'E Balans VL '!I13/100/3.6*1000000</f>
        <v>114.11885660631836</v>
      </c>
      <c r="F8" s="33">
        <f>$C$28*('E Balans VL '!L13+'E Balans VL '!N13)/100/3.6*1000000</f>
        <v>606.02487016556529</v>
      </c>
      <c r="G8" s="34"/>
      <c r="H8" s="33"/>
      <c r="I8" s="33"/>
      <c r="J8" s="33">
        <f>$C$28*('E Balans VL '!D13+'E Balans VL '!E13)/100/3.6*1000000</f>
        <v>0</v>
      </c>
      <c r="K8" s="33"/>
      <c r="L8" s="33"/>
      <c r="M8" s="33"/>
      <c r="N8" s="33">
        <f>$C$28*'E Balans VL '!Y13/100/3.6*1000000</f>
        <v>4.3584618538472526</v>
      </c>
      <c r="O8" s="33"/>
      <c r="P8" s="33"/>
      <c r="R8" s="32"/>
    </row>
    <row r="9" spans="1:18">
      <c r="A9" s="32" t="s">
        <v>51</v>
      </c>
      <c r="B9" s="37">
        <f t="shared" si="0"/>
        <v>1559.8420000000001</v>
      </c>
      <c r="C9" s="33"/>
      <c r="D9" s="37">
        <f>IF(ISERROR(TER_gezond_gas_kWh/1000),0,TER_gezond_gas_kWh/1000)*0.902</f>
        <v>2699.2902799719996</v>
      </c>
      <c r="E9" s="33">
        <f>$C$29*'E Balans VL '!I10/100/3.6*1000000</f>
        <v>9.7661509857460374E-2</v>
      </c>
      <c r="F9" s="33">
        <f>$C$29*('E Balans VL '!L10+'E Balans VL '!N10)/100/3.6*1000000</f>
        <v>231.71927836659378</v>
      </c>
      <c r="G9" s="34"/>
      <c r="H9" s="33"/>
      <c r="I9" s="33"/>
      <c r="J9" s="33">
        <f>$C$29*('E Balans VL '!D10+'E Balans VL '!E10)/100/3.6*1000000</f>
        <v>0</v>
      </c>
      <c r="K9" s="33"/>
      <c r="L9" s="33"/>
      <c r="M9" s="33"/>
      <c r="N9" s="33">
        <f>$C$29*'E Balans VL '!Y10/100/3.6*1000000</f>
        <v>24.12778656788722</v>
      </c>
      <c r="O9" s="33"/>
      <c r="P9" s="33"/>
      <c r="R9" s="32"/>
    </row>
    <row r="10" spans="1:18">
      <c r="A10" s="32" t="s">
        <v>50</v>
      </c>
      <c r="B10" s="37">
        <f t="shared" si="0"/>
        <v>1617.252</v>
      </c>
      <c r="C10" s="33"/>
      <c r="D10" s="37">
        <f>IF(ISERROR(TER_ander_gas_kWh/1000),0,TER_ander_gas_kWh/1000)*0.902</f>
        <v>3803.8079640000005</v>
      </c>
      <c r="E10" s="33">
        <f>$C$30*'E Balans VL '!I14/100/3.6*1000000</f>
        <v>1.9277065931784532</v>
      </c>
      <c r="F10" s="33">
        <f>$C$30*('E Balans VL '!L14+'E Balans VL '!N14)/100/3.6*1000000</f>
        <v>423.14502057687406</v>
      </c>
      <c r="G10" s="34"/>
      <c r="H10" s="33"/>
      <c r="I10" s="33"/>
      <c r="J10" s="33">
        <f>$C$30*('E Balans VL '!D14+'E Balans VL '!E14)/100/3.6*1000000</f>
        <v>3.5104201467204714E-2</v>
      </c>
      <c r="K10" s="33"/>
      <c r="L10" s="33"/>
      <c r="M10" s="33"/>
      <c r="N10" s="33">
        <f>$C$30*'E Balans VL '!Y14/100/3.6*1000000</f>
        <v>1373.3308248005981</v>
      </c>
      <c r="O10" s="33"/>
      <c r="P10" s="33"/>
      <c r="R10" s="32"/>
    </row>
    <row r="11" spans="1:18">
      <c r="A11" s="32" t="s">
        <v>55</v>
      </c>
      <c r="B11" s="37">
        <f t="shared" si="0"/>
        <v>80.460736999999995</v>
      </c>
      <c r="C11" s="33"/>
      <c r="D11" s="37">
        <f>IF(ISERROR(TER_onderwijs_gas_kWh/1000),0,TER_onderwijs_gas_kWh/1000)*0.902</f>
        <v>372.14355200000006</v>
      </c>
      <c r="E11" s="33">
        <f>$C$31*'E Balans VL '!I11/100/3.6*1000000</f>
        <v>1.2140229269899752</v>
      </c>
      <c r="F11" s="33">
        <f>$C$31*('E Balans VL '!L11+'E Balans VL '!N11)/100/3.6*1000000</f>
        <v>14.098006520913751</v>
      </c>
      <c r="G11" s="34"/>
      <c r="H11" s="33"/>
      <c r="I11" s="33"/>
      <c r="J11" s="33">
        <f>$C$31*('E Balans VL '!D11+'E Balans VL '!E11)/100/3.6*1000000</f>
        <v>0</v>
      </c>
      <c r="K11" s="33"/>
      <c r="L11" s="33"/>
      <c r="M11" s="33"/>
      <c r="N11" s="33">
        <f>$C$31*'E Balans VL '!Y11/100/3.6*1000000</f>
        <v>0.22642263077616812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24214.255370999999</v>
      </c>
      <c r="C16" s="21">
        <f t="shared" ca="1" si="1"/>
        <v>0</v>
      </c>
      <c r="D16" s="21">
        <f t="shared" ca="1" si="1"/>
        <v>32852.391421057997</v>
      </c>
      <c r="E16" s="21">
        <f t="shared" si="1"/>
        <v>129.46698352770355</v>
      </c>
      <c r="F16" s="21">
        <f t="shared" ca="1" si="1"/>
        <v>3931.5671170697515</v>
      </c>
      <c r="G16" s="21">
        <f t="shared" si="1"/>
        <v>0</v>
      </c>
      <c r="H16" s="21">
        <f t="shared" si="1"/>
        <v>0</v>
      </c>
      <c r="I16" s="21">
        <f t="shared" si="1"/>
        <v>0</v>
      </c>
      <c r="J16" s="21">
        <f t="shared" si="1"/>
        <v>3.5104201467204714E-2</v>
      </c>
      <c r="K16" s="21">
        <f t="shared" si="1"/>
        <v>0</v>
      </c>
      <c r="L16" s="21">
        <f t="shared" ca="1" si="1"/>
        <v>0</v>
      </c>
      <c r="M16" s="21">
        <f t="shared" si="1"/>
        <v>0</v>
      </c>
      <c r="N16" s="21">
        <f t="shared" ca="1" si="1"/>
        <v>1418.5158002491207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0.20740227243855969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5022.0915893529991</v>
      </c>
      <c r="C20" s="23">
        <f t="shared" ref="C20:P20" ca="1" si="2">C16*C18</f>
        <v>0</v>
      </c>
      <c r="D20" s="23">
        <f t="shared" ca="1" si="2"/>
        <v>6636.1830670537156</v>
      </c>
      <c r="E20" s="23">
        <f t="shared" si="2"/>
        <v>29.389005260788707</v>
      </c>
      <c r="F20" s="23">
        <f t="shared" ca="1" si="2"/>
        <v>1049.7284202576236</v>
      </c>
      <c r="G20" s="23">
        <f t="shared" si="2"/>
        <v>0</v>
      </c>
      <c r="H20" s="23">
        <f t="shared" si="2"/>
        <v>0</v>
      </c>
      <c r="I20" s="23">
        <f t="shared" si="2"/>
        <v>0</v>
      </c>
      <c r="J20" s="23">
        <f t="shared" si="2"/>
        <v>1.2426887319390468E-2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16972.156090999997</v>
      </c>
      <c r="C26" s="39">
        <f>IF(ISERROR(B26*3.6/1000000/'E Balans VL '!Z12*100),0,B26*3.6/1000000/'E Balans VL '!Z12*100)</f>
        <v>0.35876449369676788</v>
      </c>
      <c r="D26" s="237" t="s">
        <v>754</v>
      </c>
      <c r="F26" s="6"/>
    </row>
    <row r="27" spans="1:18">
      <c r="A27" s="231" t="s">
        <v>53</v>
      </c>
      <c r="B27" s="33">
        <f>IF(ISERROR(TER_horeca_ele_kWh/1000),0,TER_horeca_ele_kWh/1000)</f>
        <v>838.16338500000006</v>
      </c>
      <c r="C27" s="39">
        <f>IF(ISERROR(B27*3.6/1000000/'E Balans VL '!Z9*100),0,B27*3.6/1000000/'E Balans VL '!Z9*100)</f>
        <v>6.6072107240107841E-2</v>
      </c>
      <c r="D27" s="237" t="s">
        <v>754</v>
      </c>
      <c r="F27" s="6"/>
    </row>
    <row r="28" spans="1:18">
      <c r="A28" s="171" t="s">
        <v>52</v>
      </c>
      <c r="B28" s="33">
        <f>IF(ISERROR(TER_handel_ele_kWh/1000),0,TER_handel_ele_kWh/1000)</f>
        <v>3146.3811579999997</v>
      </c>
      <c r="C28" s="39">
        <f>IF(ISERROR(B28*3.6/1000000/'E Balans VL '!Z13*100),0,B28*3.6/1000000/'E Balans VL '!Z13*100)</f>
        <v>9.132069400958566E-2</v>
      </c>
      <c r="D28" s="237" t="s">
        <v>754</v>
      </c>
      <c r="F28" s="6"/>
    </row>
    <row r="29" spans="1:18">
      <c r="A29" s="231" t="s">
        <v>51</v>
      </c>
      <c r="B29" s="33">
        <f>IF(ISERROR(TER_gezond_ele_kWh/1000),0,TER_gezond_ele_kWh/1000)</f>
        <v>1559.8420000000001</v>
      </c>
      <c r="C29" s="39">
        <f>IF(ISERROR(B29*3.6/1000000/'E Balans VL '!Z10*100),0,B29*3.6/1000000/'E Balans VL '!Z10*100)</f>
        <v>0.16427697588173165</v>
      </c>
      <c r="D29" s="237" t="s">
        <v>754</v>
      </c>
      <c r="F29" s="6"/>
    </row>
    <row r="30" spans="1:18">
      <c r="A30" s="231" t="s">
        <v>50</v>
      </c>
      <c r="B30" s="33">
        <f>IF(ISERROR(TER_ander_ele_kWh/1000),0,TER_ander_ele_kWh/1000)</f>
        <v>1617.252</v>
      </c>
      <c r="C30" s="39">
        <f>IF(ISERROR(B30*3.6/1000000/'E Balans VL '!Z14*100),0,B30*3.6/1000000/'E Balans VL '!Z14*100)</f>
        <v>0.11928885878538709</v>
      </c>
      <c r="D30" s="237" t="s">
        <v>754</v>
      </c>
      <c r="F30" s="6"/>
    </row>
    <row r="31" spans="1:18">
      <c r="A31" s="231" t="s">
        <v>55</v>
      </c>
      <c r="B31" s="33">
        <f>IF(ISERROR(TER_onderwijs_ele_kWh/1000),0,TER_onderwijs_ele_kWh/1000)</f>
        <v>80.460736999999995</v>
      </c>
      <c r="C31" s="39">
        <f>IF(ISERROR(B31*3.6/1000000/'E Balans VL '!Z11*100),0,B31*3.6/1000000/'E Balans VL '!Z11*100)</f>
        <v>1.9982169999985422E-2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1055.6960000000001</v>
      </c>
      <c r="C5" s="17">
        <f>IF(ISERROR('Eigen informatie GS &amp; warmtenet'!B59),0,'Eigen informatie GS &amp; warmtenet'!B59)</f>
        <v>0</v>
      </c>
      <c r="D5" s="30">
        <f>SUM(D6:D15)</f>
        <v>1499.0133859360001</v>
      </c>
      <c r="E5" s="17">
        <f>SUM(E6:E15)</f>
        <v>103.52596735534904</v>
      </c>
      <c r="F5" s="17">
        <f>SUM(F6:F15)</f>
        <v>331.45269247673605</v>
      </c>
      <c r="G5" s="18"/>
      <c r="H5" s="17"/>
      <c r="I5" s="17"/>
      <c r="J5" s="17">
        <f>SUM(J6:J15)</f>
        <v>7.0539387002537257E-2</v>
      </c>
      <c r="K5" s="17"/>
      <c r="L5" s="17"/>
      <c r="M5" s="17"/>
      <c r="N5" s="17">
        <f>SUM(N6:N15)</f>
        <v>143.15068574814549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385.46300000000002</v>
      </c>
      <c r="C8" s="33"/>
      <c r="D8" s="37">
        <f>IF( ISERROR(IND_metaal_Gas_kWH/1000),0,IND_metaal_Gas_kWH/1000)*0.902</f>
        <v>0</v>
      </c>
      <c r="E8" s="33">
        <f>C30*'E Balans VL '!I18/100/3.6*1000000</f>
        <v>3.5439600012941717</v>
      </c>
      <c r="F8" s="33">
        <f>C30*'E Balans VL '!L18/100/3.6*1000000+C30*'E Balans VL '!N18/100/3.6*1000000</f>
        <v>36.143596037678229</v>
      </c>
      <c r="G8" s="34"/>
      <c r="H8" s="33"/>
      <c r="I8" s="33"/>
      <c r="J8" s="40">
        <f>C30*'E Balans VL '!D18/100/3.6*1000000+C30*'E Balans VL '!E18/100/3.6*1000000</f>
        <v>0</v>
      </c>
      <c r="K8" s="33"/>
      <c r="L8" s="33"/>
      <c r="M8" s="33"/>
      <c r="N8" s="33">
        <f>C30*'E Balans VL '!Y18/100/3.6*1000000</f>
        <v>5.4992666994324262</v>
      </c>
      <c r="O8" s="33"/>
      <c r="P8" s="33"/>
      <c r="R8" s="32"/>
    </row>
    <row r="9" spans="1:18">
      <c r="A9" s="6" t="s">
        <v>33</v>
      </c>
      <c r="B9" s="37">
        <f t="shared" si="0"/>
        <v>335.976</v>
      </c>
      <c r="C9" s="33"/>
      <c r="D9" s="37">
        <f>IF( ISERROR(IND_andere_gas_kWh/1000),0,IND_andere_gas_kWh/1000)*0.902</f>
        <v>693.90859999999998</v>
      </c>
      <c r="E9" s="33">
        <f>C31*'E Balans VL '!I19/100/3.6*1000000</f>
        <v>98.212325481251085</v>
      </c>
      <c r="F9" s="33">
        <f>C31*'E Balans VL '!L19/100/3.6*1000000+C31*'E Balans VL '!N19/100/3.6*1000000</f>
        <v>269.98214704644482</v>
      </c>
      <c r="G9" s="34"/>
      <c r="H9" s="33"/>
      <c r="I9" s="33"/>
      <c r="J9" s="40">
        <f>C31*'E Balans VL '!D19/100/3.6*1000000+C31*'E Balans VL '!E19/100/3.6*1000000</f>
        <v>0</v>
      </c>
      <c r="K9" s="33"/>
      <c r="L9" s="33"/>
      <c r="M9" s="33"/>
      <c r="N9" s="33">
        <f>C31*'E Balans VL '!Y19/100/3.6*1000000</f>
        <v>111.01168101832684</v>
      </c>
      <c r="O9" s="33"/>
      <c r="P9" s="33"/>
      <c r="R9" s="32"/>
    </row>
    <row r="10" spans="1:18">
      <c r="A10" s="6" t="s">
        <v>41</v>
      </c>
      <c r="B10" s="37">
        <f t="shared" si="0"/>
        <v>311.02600000000001</v>
      </c>
      <c r="C10" s="33"/>
      <c r="D10" s="37">
        <f>IF( ISERROR(IND_voed_gas_kWh/1000),0,IND_voed_gas_kWh/1000)*0.902</f>
        <v>684.64088193600003</v>
      </c>
      <c r="E10" s="33">
        <f>C32*'E Balans VL '!I20/100/3.6*1000000</f>
        <v>0.65798032551524721</v>
      </c>
      <c r="F10" s="33">
        <f>C32*'E Balans VL '!L20/100/3.6*1000000+C32*'E Balans VL '!N20/100/3.6*1000000</f>
        <v>19.775350783742478</v>
      </c>
      <c r="G10" s="34"/>
      <c r="H10" s="33"/>
      <c r="I10" s="33"/>
      <c r="J10" s="40">
        <f>C32*'E Balans VL '!D20/100/3.6*1000000+C32*'E Balans VL '!E20/100/3.6*1000000</f>
        <v>0</v>
      </c>
      <c r="K10" s="33"/>
      <c r="L10" s="33"/>
      <c r="M10" s="33"/>
      <c r="N10" s="33">
        <f>C32*'E Balans VL '!Y20/100/3.6*1000000</f>
        <v>21.463863279564563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6.52</v>
      </c>
      <c r="C12" s="33"/>
      <c r="D12" s="37">
        <f>IF( ISERROR(IND_min_gas_kWh/1000),0,IND_min_gas_kWh/1000)*0.902</f>
        <v>0</v>
      </c>
      <c r="E12" s="33">
        <f>C34*'E Balans VL '!I22/100/3.6*1000000</f>
        <v>0.18898795282986569</v>
      </c>
      <c r="F12" s="33">
        <f>C34*'E Balans VL '!L22/100/3.6*1000000+C34*'E Balans VL '!N22/100/3.6*1000000</f>
        <v>2.24164967764206</v>
      </c>
      <c r="G12" s="34"/>
      <c r="H12" s="33"/>
      <c r="I12" s="33"/>
      <c r="J12" s="40">
        <f>C34*'E Balans VL '!D22/100/3.6*1000000+C34*'E Balans VL '!E22/100/3.6*1000000</f>
        <v>1.0714324772692832E-2</v>
      </c>
      <c r="K12" s="33"/>
      <c r="L12" s="33"/>
      <c r="M12" s="33"/>
      <c r="N12" s="33">
        <f>C34*'E Balans VL '!Y22/100/3.6*1000000</f>
        <v>1.4273351450591756</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16.710999999999999</v>
      </c>
      <c r="C15" s="33"/>
      <c r="D15" s="37">
        <f>IF( ISERROR(IND_rest_gas_kWh/1000),0,IND_rest_gas_kWh/1000)*0.902</f>
        <v>120.463904</v>
      </c>
      <c r="E15" s="33">
        <f>C37*'E Balans VL '!I15/100/3.6*1000000</f>
        <v>0.92271359445867107</v>
      </c>
      <c r="F15" s="33">
        <f>C37*'E Balans VL '!L15/100/3.6*1000000+C37*'E Balans VL '!N15/100/3.6*1000000</f>
        <v>3.3099489312285262</v>
      </c>
      <c r="G15" s="34"/>
      <c r="H15" s="33"/>
      <c r="I15" s="33"/>
      <c r="J15" s="40">
        <f>C37*'E Balans VL '!D15/100/3.6*1000000+C37*'E Balans VL '!E15/100/3.6*1000000</f>
        <v>5.9825062229844427E-2</v>
      </c>
      <c r="K15" s="33"/>
      <c r="L15" s="33"/>
      <c r="M15" s="33"/>
      <c r="N15" s="33">
        <f>C37*'E Balans VL '!Y15/100/3.6*1000000</f>
        <v>3.748539605762478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1055.6960000000001</v>
      </c>
      <c r="C18" s="21">
        <f>C5+C16</f>
        <v>0</v>
      </c>
      <c r="D18" s="21">
        <f>MAX((D5+D16),0)</f>
        <v>1499.0133859360001</v>
      </c>
      <c r="E18" s="21">
        <f>MAX((E5+E16),0)</f>
        <v>103.52596735534904</v>
      </c>
      <c r="F18" s="21">
        <f>MAX((F5+F16),0)</f>
        <v>331.45269247673605</v>
      </c>
      <c r="G18" s="21"/>
      <c r="H18" s="21"/>
      <c r="I18" s="21"/>
      <c r="J18" s="21">
        <f>MAX((J5+J16),0)</f>
        <v>7.0539387002537257E-2</v>
      </c>
      <c r="K18" s="21"/>
      <c r="L18" s="21">
        <f>MAX((L5+L16),0)</f>
        <v>0</v>
      </c>
      <c r="M18" s="21"/>
      <c r="N18" s="21">
        <f>MAX((N5+N16),0)</f>
        <v>143.15068574814549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0.20740227243855969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218.95374940429772</v>
      </c>
      <c r="C22" s="23">
        <f ca="1">C18*C20</f>
        <v>0</v>
      </c>
      <c r="D22" s="23">
        <f>D18*D20</f>
        <v>302.80070395907205</v>
      </c>
      <c r="E22" s="23">
        <f>E18*E20</f>
        <v>23.500394589664232</v>
      </c>
      <c r="F22" s="23">
        <f>F18*F20</f>
        <v>88.497868891288533</v>
      </c>
      <c r="G22" s="23"/>
      <c r="H22" s="23"/>
      <c r="I22" s="23"/>
      <c r="J22" s="23">
        <f>J18*J20</f>
        <v>2.4970942998898189E-2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385.46300000000002</v>
      </c>
      <c r="C30" s="39">
        <f>IF(ISERROR(B30*3.6/1000000/'E Balans VL '!Z18*100),0,B30*3.6/1000000/'E Balans VL '!Z18*100)</f>
        <v>2.1845176601777608E-2</v>
      </c>
      <c r="D30" s="237" t="s">
        <v>754</v>
      </c>
    </row>
    <row r="31" spans="1:18">
      <c r="A31" s="6" t="s">
        <v>33</v>
      </c>
      <c r="B31" s="37">
        <f>IF( ISERROR(IND_ander_ele_kWh/1000),0,IND_ander_ele_kWh/1000)</f>
        <v>335.976</v>
      </c>
      <c r="C31" s="39">
        <f>IF(ISERROR(B31*3.6/1000000/'E Balans VL '!Z19*100),0,B31*3.6/1000000/'E Balans VL '!Z19*100)</f>
        <v>1.5238472380284812E-2</v>
      </c>
      <c r="D31" s="237" t="s">
        <v>754</v>
      </c>
    </row>
    <row r="32" spans="1:18">
      <c r="A32" s="171" t="s">
        <v>41</v>
      </c>
      <c r="B32" s="37">
        <f>IF( ISERROR(IND_voed_ele_kWh/1000),0,IND_voed_ele_kWh/1000)</f>
        <v>311.02600000000001</v>
      </c>
      <c r="C32" s="39">
        <f>IF(ISERROR(B32*3.6/1000000/'E Balans VL '!Z20*100),0,B32*3.6/1000000/'E Balans VL '!Z20*100)</f>
        <v>9.6214461188222494E-3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6.52</v>
      </c>
      <c r="C34" s="39">
        <f>IF(ISERROR(B34*3.6/1000000/'E Balans VL '!Z22*100),0,B34*3.6/1000000/'E Balans VL '!Z22*100)</f>
        <v>1.17274457834279E-3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16.710999999999999</v>
      </c>
      <c r="C37" s="39">
        <f>IF(ISERROR(B37*3.6/1000000/'E Balans VL '!Z15*100),0,B37*3.6/1000000/'E Balans VL '!Z15*100)</f>
        <v>1.3245519805984179E-4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382.314953</v>
      </c>
      <c r="C5" s="17">
        <f>'Eigen informatie GS &amp; warmtenet'!B60</f>
        <v>0</v>
      </c>
      <c r="D5" s="30">
        <f>IF(ISERROR(SUM(LB_lb_gas_kWh,LB_rest_gas_kWh)/1000),0,SUM(LB_lb_gas_kWh,LB_rest_gas_kWh)/1000)*0.902</f>
        <v>154.00206800000001</v>
      </c>
      <c r="E5" s="17">
        <f>B17*'E Balans VL '!I25/3.6*1000000/100</f>
        <v>11.237404193316991</v>
      </c>
      <c r="F5" s="17">
        <f>B17*('E Balans VL '!L25/3.6*1000000+'E Balans VL '!N25/3.6*1000000)/100</f>
        <v>1592.7034349822941</v>
      </c>
      <c r="G5" s="18"/>
      <c r="H5" s="17"/>
      <c r="I5" s="17"/>
      <c r="J5" s="17">
        <f>('E Balans VL '!D25+'E Balans VL '!E25)/3.6*1000000*landbouw!B17/100</f>
        <v>55.38922638210186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382.314953</v>
      </c>
      <c r="C8" s="21">
        <f>C5+C6</f>
        <v>0</v>
      </c>
      <c r="D8" s="21">
        <f>MAX((D5+D6),0)</f>
        <v>154.00206800000001</v>
      </c>
      <c r="E8" s="21">
        <f>MAX((E5+E6),0)</f>
        <v>11.237404193316991</v>
      </c>
      <c r="F8" s="21">
        <f>MAX((F5+F6),0)</f>
        <v>1592.7034349822941</v>
      </c>
      <c r="G8" s="21"/>
      <c r="H8" s="21"/>
      <c r="I8" s="21"/>
      <c r="J8" s="21">
        <f>MAX((J5+J6),0)</f>
        <v>55.38922638210186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0.20740227243855969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79.292990039441136</v>
      </c>
      <c r="C12" s="23">
        <f ca="1">C8*C10</f>
        <v>0</v>
      </c>
      <c r="D12" s="23">
        <f>D8*D10</f>
        <v>31.108417736000003</v>
      </c>
      <c r="E12" s="23">
        <f>E8*E10</f>
        <v>2.5508907518829571</v>
      </c>
      <c r="F12" s="23">
        <f>F8*F10</f>
        <v>425.25181714027252</v>
      </c>
      <c r="G12" s="23"/>
      <c r="H12" s="23"/>
      <c r="I12" s="23"/>
      <c r="J12" s="23">
        <f>J8*J10</f>
        <v>19.607786139264057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5.425169130728473E-2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5.657744910028212</v>
      </c>
      <c r="C26" s="247">
        <f>B26*'GWP N2O_CH4'!B5</f>
        <v>118.81264311059245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0.33375592992394898</v>
      </c>
      <c r="C27" s="247">
        <f>B27*'GWP N2O_CH4'!B5</f>
        <v>7.008874528402929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7.6311443851721145E-2</v>
      </c>
      <c r="C28" s="247">
        <f>B28*'GWP N2O_CH4'!B4</f>
        <v>23.656547594033555</v>
      </c>
      <c r="D28" s="50"/>
    </row>
    <row r="29" spans="1:4">
      <c r="A29" s="41" t="s">
        <v>277</v>
      </c>
      <c r="B29" s="247">
        <f>B34*'ha_N2O bodem landbouw'!B4</f>
        <v>4.5072630891259369</v>
      </c>
      <c r="C29" s="247">
        <f>B29*'GWP N2O_CH4'!B4</f>
        <v>1397.2515576290405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1.0285419042189283E-3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1.6299772890470774E-4</v>
      </c>
      <c r="C5" s="463" t="s">
        <v>211</v>
      </c>
      <c r="D5" s="448">
        <f>SUM(D6:D11)</f>
        <v>5.3433644302805408E-4</v>
      </c>
      <c r="E5" s="448">
        <f>SUM(E6:E11)</f>
        <v>7.5215179447287069E-4</v>
      </c>
      <c r="F5" s="461" t="s">
        <v>211</v>
      </c>
      <c r="G5" s="448">
        <f>SUM(G6:G11)</f>
        <v>0.30961665001010497</v>
      </c>
      <c r="H5" s="448">
        <f>SUM(H6:H11)</f>
        <v>6.0957599855690915E-2</v>
      </c>
      <c r="I5" s="463" t="s">
        <v>211</v>
      </c>
      <c r="J5" s="463" t="s">
        <v>211</v>
      </c>
      <c r="K5" s="463" t="s">
        <v>211</v>
      </c>
      <c r="L5" s="463" t="s">
        <v>211</v>
      </c>
      <c r="M5" s="448">
        <f>SUM(M6:M11)</f>
        <v>1.9887815263147236E-2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1.1517717102673208E-4</v>
      </c>
      <c r="C6" s="449"/>
      <c r="D6" s="892">
        <f>vkm_2011_GW_PW*SUMIFS(TableVerdeelsleutelVkm[CNG],TableVerdeelsleutelVkm[Voertuigtype],"Lichte voertuigen")*SUMIFS(TableECFTransport[EnergieConsumptieFactor (PJ per km)],TableECFTransport[Index],CONCATENATE($A6,"_CNG_CNG"))</f>
        <v>3.4546540739706502E-4</v>
      </c>
      <c r="E6" s="892">
        <f>vkm_2011_GW_PW*SUMIFS(TableVerdeelsleutelVkm[LPG],TableVerdeelsleutelVkm[Voertuigtype],"Lichte voertuigen")*SUMIFS(TableECFTransport[EnergieConsumptieFactor (PJ per km)],TableECFTransport[Index],CONCATENATE($A6,"_LPG_LPG"))</f>
        <v>4.7195537016459752E-4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0.12202602395413416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3.9292714981336171E-2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8.2884384334080633E-3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8.3200785639974129E-2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2.5357908814509428E-5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4.8619732092825005E-3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1.7687520766151734E-5</v>
      </c>
      <c r="C8" s="449"/>
      <c r="D8" s="451">
        <f>vkm_2011_NGW_PW*SUMIFS(TableVerdeelsleutelVkm[CNG],TableVerdeelsleutelVkm[Voertuigtype],"Lichte voertuigen")*SUMIFS(TableECFTransport[EnergieConsumptieFactor (PJ per km)],TableECFTransport[Index],CONCATENATE($A8,"_CNG_CNG"))</f>
        <v>9.4327780332206166E-5</v>
      </c>
      <c r="E8" s="451">
        <f>vkm_2011_NGW_PW*SUMIFS(TableVerdeelsleutelVkm[LPG],TableVerdeelsleutelVkm[Voertuigtype],"Lichte voertuigen")*SUMIFS(TableECFTransport[EnergieConsumptieFactor (PJ per km)],TableECFTransport[Index],CONCATENATE($A8,"_LPG_LPG"))</f>
        <v>1.1934388827896126E-4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2.8755327387262462E-2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1.0425946146707337E-2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1.9875680489235764E-3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1.4785482738112421E-2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4.2423057826934405E-6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8.6400594217900413E-4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3.0133037111823923E-5</v>
      </c>
      <c r="C10" s="449"/>
      <c r="D10" s="451">
        <f>vkm_2011_SW_PW*SUMIFS(TableVerdeelsleutelVkm[CNG],TableVerdeelsleutelVkm[Voertuigtype],"Lichte voertuigen")*SUMIFS(TableECFTransport[EnergieConsumptieFactor (PJ per km)],TableECFTransport[Index],CONCATENATE($A10,"_CNG_CNG"))</f>
        <v>9.454325529878288E-5</v>
      </c>
      <c r="E10" s="451">
        <f>vkm_2011_SW_PW*SUMIFS(TableVerdeelsleutelVkm[LPG],TableVerdeelsleutelVkm[Voertuigtype],"Lichte voertuigen")*SUMIFS(TableECFTransport[EnergieConsumptieFactor (PJ per km)],TableECFTransport[Index],CONCATENATE($A10,"_LPG_LPG"))</f>
        <v>1.6085253602931193E-4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3.7076873997959198E-2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1.1201514418094635E-2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2.4966479487140325E-3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2.3772156292662591E-2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7.8240949555691458E-6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1.3891816806400619E-3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45.27714691797437</v>
      </c>
      <c r="C14" s="21"/>
      <c r="D14" s="21">
        <f t="shared" ref="D14:M14" si="0">((D5)*10^9/3600)+D12</f>
        <v>148.42678973001503</v>
      </c>
      <c r="E14" s="21">
        <f t="shared" si="0"/>
        <v>208.93105402024185</v>
      </c>
      <c r="F14" s="21"/>
      <c r="G14" s="21">
        <f t="shared" si="0"/>
        <v>86004.625002806933</v>
      </c>
      <c r="H14" s="21">
        <f t="shared" si="0"/>
        <v>16932.666626580813</v>
      </c>
      <c r="I14" s="21"/>
      <c r="J14" s="21"/>
      <c r="K14" s="21"/>
      <c r="L14" s="21"/>
      <c r="M14" s="21">
        <f t="shared" si="0"/>
        <v>5524.3931286520101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0.20740227243855969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9.3905831603224126</v>
      </c>
      <c r="C18" s="23"/>
      <c r="D18" s="23">
        <f t="shared" ref="D18:M18" si="1">D14*D16</f>
        <v>29.98221152546304</v>
      </c>
      <c r="E18" s="23">
        <f t="shared" si="1"/>
        <v>47.427349262594902</v>
      </c>
      <c r="F18" s="23"/>
      <c r="G18" s="23">
        <f t="shared" si="1"/>
        <v>22963.234875749451</v>
      </c>
      <c r="H18" s="23">
        <f t="shared" si="1"/>
        <v>4216.2339900186225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1.8188174716495451E-2</v>
      </c>
      <c r="H50" s="321">
        <f t="shared" si="2"/>
        <v>0</v>
      </c>
      <c r="I50" s="321">
        <f t="shared" si="2"/>
        <v>0</v>
      </c>
      <c r="J50" s="321">
        <f t="shared" si="2"/>
        <v>0</v>
      </c>
      <c r="K50" s="321">
        <f t="shared" si="2"/>
        <v>0</v>
      </c>
      <c r="L50" s="321">
        <f t="shared" si="2"/>
        <v>0</v>
      </c>
      <c r="M50" s="321">
        <f t="shared" si="2"/>
        <v>1.0330080308103599E-3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1.8188174716495451E-2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1.0330080308103599E-3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5052.2707545820695</v>
      </c>
      <c r="H54" s="21">
        <f t="shared" si="3"/>
        <v>0</v>
      </c>
      <c r="I54" s="21">
        <f t="shared" si="3"/>
        <v>0</v>
      </c>
      <c r="J54" s="21">
        <f t="shared" si="3"/>
        <v>0</v>
      </c>
      <c r="K54" s="21">
        <f t="shared" si="3"/>
        <v>0</v>
      </c>
      <c r="L54" s="21">
        <f t="shared" si="3"/>
        <v>0</v>
      </c>
      <c r="M54" s="21">
        <f t="shared" si="3"/>
        <v>286.94667522509997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0.20740227243855969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1348.9562914734126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2904.0000875663018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2904.0000875663018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2019-08-12T08:32:25Z</dcterms:modified>
</cp:coreProperties>
</file>