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G9"/>
  <c r="G10" s="1"/>
  <c r="F9"/>
  <c r="E9"/>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N6" i="17" s="1"/>
  <c r="U61" i="18"/>
  <c r="T61"/>
  <c r="L6" i="17" s="1"/>
  <c r="S61" i="18"/>
  <c r="R61"/>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D6" i="17"/>
  <c r="B19" i="6"/>
  <c r="B18"/>
  <c r="B5"/>
  <c r="B6"/>
  <c r="C64" i="14" s="1"/>
  <c r="P7" i="48"/>
  <c r="P25" s="1"/>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L56" s="1"/>
  <c r="J54"/>
  <c r="I54"/>
  <c r="H54"/>
  <c r="H56" s="1"/>
  <c r="Q24"/>
  <c r="P24"/>
  <c r="P26" s="1"/>
  <c r="N24"/>
  <c r="N26" s="1"/>
  <c r="L24"/>
  <c r="L26" s="1"/>
  <c r="J24"/>
  <c r="I24"/>
  <c r="H24"/>
  <c r="Q50"/>
  <c r="P50"/>
  <c r="P52" s="1"/>
  <c r="O50"/>
  <c r="M50"/>
  <c r="L50"/>
  <c r="K50"/>
  <c r="J50"/>
  <c r="G50"/>
  <c r="D50"/>
  <c r="Q49"/>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L18"/>
  <c r="L22" s="1"/>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R44"/>
  <c r="Q26"/>
  <c r="J26"/>
  <c r="I26"/>
  <c r="E25"/>
  <c r="D14" i="48" s="1"/>
  <c r="C25" i="14"/>
  <c r="B14" i="48" s="1"/>
  <c r="H26" i="14"/>
  <c r="M22"/>
  <c r="D5" i="17"/>
  <c r="K18" i="61" l="1"/>
  <c r="K90" i="14"/>
  <c r="Q14" i="48"/>
  <c r="H20" i="61"/>
  <c r="L78" i="14"/>
  <c r="L8" i="61"/>
  <c r="L10" s="1"/>
  <c r="E18"/>
  <c r="E20" s="1"/>
  <c r="K78" i="14"/>
  <c r="K8" i="61"/>
  <c r="K10" s="1"/>
  <c r="L90" i="14"/>
  <c r="L18" i="61"/>
  <c r="L20" s="1"/>
  <c r="I77" i="14"/>
  <c r="I9" i="61" s="1"/>
  <c r="O9" i="18"/>
  <c r="K20" i="61"/>
  <c r="Q11" i="48"/>
  <c r="L20" i="18"/>
  <c r="C98"/>
  <c r="C101" s="1"/>
  <c r="O77" i="14"/>
  <c r="O9" i="61" s="1"/>
  <c r="O10" s="1"/>
  <c r="N20"/>
  <c r="Q52" i="14"/>
  <c r="N77"/>
  <c r="E89"/>
  <c r="E19" i="61" s="1"/>
  <c r="F6" i="17"/>
  <c r="I9" i="18"/>
  <c r="P27" i="48"/>
  <c r="B10" i="18"/>
  <c r="M77" i="14"/>
  <c r="M9" i="61" s="1"/>
  <c r="H9" i="18"/>
  <c r="G10" i="61"/>
  <c r="P31" i="48"/>
  <c r="J22" i="14"/>
  <c r="P22"/>
  <c r="E10" i="61"/>
  <c r="B17" i="18"/>
  <c r="B20" s="1"/>
  <c r="F13" i="15"/>
  <c r="L13"/>
  <c r="B13"/>
  <c r="H90" i="14"/>
  <c r="N13" i="15"/>
  <c r="F77" i="14"/>
  <c r="F9" i="61" s="1"/>
  <c r="B101" i="18"/>
  <c r="C8" s="1"/>
  <c r="I102"/>
  <c r="H17" s="1"/>
  <c r="E102"/>
  <c r="E17" s="1"/>
  <c r="C102"/>
  <c r="B102"/>
  <c r="C17" s="1"/>
  <c r="H102"/>
  <c r="D102"/>
  <c r="G102"/>
  <c r="F102"/>
  <c r="N90" i="14"/>
  <c r="O18" i="18"/>
  <c r="F20"/>
  <c r="D77" i="14"/>
  <c r="D9" i="61" s="1"/>
  <c r="H77" i="14"/>
  <c r="G90"/>
  <c r="O88"/>
  <c r="G20" i="18"/>
  <c r="K20"/>
  <c r="O19"/>
  <c r="D10"/>
  <c r="O29" i="48"/>
  <c r="O27"/>
  <c r="P29"/>
  <c r="P32"/>
  <c r="O24"/>
  <c r="P24"/>
  <c r="P30"/>
  <c r="G78" i="14"/>
  <c r="R9"/>
  <c r="D22"/>
  <c r="E55"/>
  <c r="R25"/>
  <c r="E78"/>
  <c r="O90" l="1"/>
  <c r="O18" i="61"/>
  <c r="O20" s="1"/>
  <c r="H78" i="14"/>
  <c r="H9" i="61"/>
  <c r="H10" s="1"/>
  <c r="N78" i="14"/>
  <c r="N9" i="61"/>
  <c r="N10" s="1"/>
  <c r="I101" i="18"/>
  <c r="H8" s="1"/>
  <c r="B89" i="14"/>
  <c r="B19" i="61" s="1"/>
  <c r="E101" i="18"/>
  <c r="E8" s="1"/>
  <c r="E10" s="1"/>
  <c r="C89" i="14"/>
  <c r="C19" i="61" s="1"/>
  <c r="G101" i="18"/>
  <c r="I8" s="1"/>
  <c r="I10" s="1"/>
  <c r="E90" i="14"/>
  <c r="F101" i="18"/>
  <c r="O78" i="14"/>
  <c r="H101" i="18"/>
  <c r="D101"/>
  <c r="Q89" i="14"/>
  <c r="P19" i="61" s="1"/>
  <c r="B88" i="14"/>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I17" i="18"/>
  <c r="I76" i="14"/>
  <c r="I8" i="61" s="1"/>
  <c r="I10" s="1"/>
  <c r="Q88" i="14"/>
  <c r="P18" i="61" s="1"/>
  <c r="AC15" i="5"/>
  <c r="M78" i="14" l="1"/>
  <c r="M8" i="61"/>
  <c r="M10" s="1"/>
  <c r="F90" i="14"/>
  <c r="F17" i="61"/>
  <c r="F20" s="1"/>
  <c r="M90" i="14"/>
  <c r="M17" i="61"/>
  <c r="M20" s="1"/>
  <c r="O8" i="18"/>
  <c r="O10" s="1"/>
  <c r="F76" i="14"/>
  <c r="I78"/>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F78" i="14"/>
  <c r="F8" i="61"/>
  <c r="F10" s="1"/>
  <c r="I90" i="14"/>
  <c r="B87"/>
  <c r="C87"/>
  <c r="C76"/>
  <c r="B76"/>
  <c r="B26" i="17"/>
  <c r="B90" i="14" l="1"/>
  <c r="B17" i="61"/>
  <c r="B20" s="1"/>
  <c r="C90" i="14"/>
  <c r="C17" i="61"/>
  <c r="C20" s="1"/>
  <c r="C78" i="14"/>
  <c r="C8" i="61"/>
  <c r="C10" s="1"/>
  <c r="B78" i="14"/>
  <c r="B8" i="61"/>
  <c r="B1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5"/>
  <c r="H30"/>
  <c r="H24"/>
  <c r="H28"/>
  <c r="H22"/>
  <c r="H26"/>
  <c r="H23"/>
  <c r="C4"/>
  <c r="D11" i="14"/>
  <c r="G23" i="48"/>
  <c r="G30"/>
  <c r="G32"/>
  <c r="G26"/>
  <c r="G29"/>
  <c r="G25"/>
  <c r="G24"/>
  <c r="G22"/>
  <c r="C11" i="14"/>
  <c r="B4" i="48"/>
  <c r="F30"/>
  <c r="F32"/>
  <c r="F24"/>
  <c r="F31"/>
  <c r="F29"/>
  <c r="F27"/>
  <c r="F28"/>
  <c r="N30"/>
  <c r="N32"/>
  <c r="N24"/>
  <c r="N27"/>
  <c r="N28"/>
  <c r="N31"/>
  <c r="N29"/>
  <c r="C19" i="14"/>
  <c r="B10" i="48"/>
  <c r="E31"/>
  <c r="E29"/>
  <c r="E24"/>
  <c r="E30"/>
  <c r="E28"/>
  <c r="E32"/>
  <c r="M29"/>
  <c r="M26"/>
  <c r="M24"/>
  <c r="M30"/>
  <c r="M25"/>
  <c r="M32"/>
  <c r="M22"/>
  <c r="M23"/>
  <c r="K5"/>
  <c r="L10" i="14"/>
  <c r="L16" s="1"/>
  <c r="L27" s="1"/>
  <c r="D30" i="48"/>
  <c r="D28"/>
  <c r="D32"/>
  <c r="D24"/>
  <c r="D29"/>
  <c r="D31"/>
  <c r="L29"/>
  <c r="L32"/>
  <c r="L27"/>
  <c r="L28"/>
  <c r="L24"/>
  <c r="L22"/>
  <c r="L31"/>
  <c r="L30"/>
  <c r="Q10" i="14"/>
  <c r="P5" i="48"/>
  <c r="P23" s="1"/>
  <c r="K32"/>
  <c r="K24"/>
  <c r="K27"/>
  <c r="K31"/>
  <c r="K26"/>
  <c r="K22"/>
  <c r="K29"/>
  <c r="K25"/>
  <c r="K30"/>
  <c r="K28"/>
  <c r="C24" i="14"/>
  <c r="C26" s="1"/>
  <c r="B7" i="48"/>
  <c r="J30"/>
  <c r="J32"/>
  <c r="J24"/>
  <c r="J31"/>
  <c r="J29"/>
  <c r="J28"/>
  <c r="J27"/>
  <c r="Q11" i="14"/>
  <c r="P4" i="48"/>
  <c r="P11" i="14"/>
  <c r="O4" i="48"/>
  <c r="I29"/>
  <c r="I25"/>
  <c r="I28"/>
  <c r="I30"/>
  <c r="I22"/>
  <c r="I32"/>
  <c r="I26"/>
  <c r="I27"/>
  <c r="I31"/>
  <c r="I2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G13" i="48"/>
  <c r="G31" s="1"/>
  <c r="H18" i="14"/>
  <c r="P22" i="48"/>
  <c r="P15"/>
  <c r="E9"/>
  <c r="E27" s="1"/>
  <c r="F20" i="14"/>
  <c r="F22" s="1"/>
  <c r="Q13"/>
  <c r="P8" i="48"/>
  <c r="P26" s="1"/>
  <c r="D9"/>
  <c r="D27" s="1"/>
  <c r="E20" i="14"/>
  <c r="E22" s="1"/>
  <c r="P10"/>
  <c r="O5" i="48"/>
  <c r="O23" s="1"/>
  <c r="O22"/>
  <c r="K23"/>
  <c r="K15"/>
  <c r="B9"/>
  <c r="C20" i="14"/>
  <c r="C22" s="1"/>
  <c r="J7" i="48"/>
  <c r="J25" s="1"/>
  <c r="K24" i="14"/>
  <c r="K26" s="1"/>
  <c r="I20" i="15"/>
  <c r="J40" i="14" s="1"/>
  <c r="J46" s="1"/>
  <c r="J61" s="1"/>
  <c r="K33" i="48"/>
  <c r="Q16" i="14"/>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M10" i="48" l="1"/>
  <c r="M28" s="1"/>
  <c r="N19" i="14"/>
  <c r="H19"/>
  <c r="G10" i="48"/>
  <c r="F24" i="14"/>
  <c r="F26" s="1"/>
  <c r="E7" i="48"/>
  <c r="E25" s="1"/>
  <c r="E4"/>
  <c r="F11" i="14"/>
  <c r="R11" s="1"/>
  <c r="O8" i="48"/>
  <c r="O26" s="1"/>
  <c r="O33" s="1"/>
  <c r="P13" i="14"/>
  <c r="K11"/>
  <c r="J4" i="48"/>
  <c r="N4"/>
  <c r="N22" s="1"/>
  <c r="O11" i="14"/>
  <c r="I15" i="48"/>
  <c r="I23"/>
  <c r="I33" s="1"/>
  <c r="E12" i="17"/>
  <c r="F54" i="14" s="1"/>
  <c r="F56" s="1"/>
  <c r="J63"/>
  <c r="M14" i="22"/>
  <c r="H14"/>
  <c r="H9" i="48" s="1"/>
  <c r="P16" i="14"/>
  <c r="P27" s="1"/>
  <c r="P33" i="48"/>
  <c r="M9"/>
  <c r="N20" i="14"/>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H63" s="1"/>
  <c r="H22"/>
  <c r="H27" s="1"/>
  <c r="R19"/>
  <c r="G9" i="48"/>
  <c r="H20" i="14"/>
  <c r="J22" i="48"/>
  <c r="G28"/>
  <c r="Q10"/>
  <c r="J5"/>
  <c r="J23" s="1"/>
  <c r="K10" i="14"/>
  <c r="F10"/>
  <c r="E5" i="48"/>
  <c r="E23" s="1"/>
  <c r="E22"/>
  <c r="Q4"/>
  <c r="Q7"/>
  <c r="O15"/>
  <c r="I20" i="14"/>
  <c r="I22" s="1"/>
  <c r="I27" s="1"/>
  <c r="M15" i="48"/>
  <c r="M27"/>
  <c r="M33" s="1"/>
  <c r="Q9"/>
  <c r="H15"/>
  <c r="H27"/>
  <c r="H33" s="1"/>
  <c r="N63" i="14"/>
  <c r="R24"/>
  <c r="R26" s="1"/>
  <c r="N18" i="16"/>
  <c r="E20" i="15"/>
  <c r="F40" i="14" s="1"/>
  <c r="F18" i="16"/>
  <c r="J18"/>
  <c r="E18"/>
  <c r="G18" i="22"/>
  <c r="H50" i="14" s="1"/>
  <c r="H18" i="22"/>
  <c r="I50" i="14" s="1"/>
  <c r="I52" s="1"/>
  <c r="I61" s="1"/>
  <c r="R22" l="1"/>
  <c r="J8" i="48"/>
  <c r="J26" s="1"/>
  <c r="J33" s="1"/>
  <c r="K13" i="14"/>
  <c r="F13"/>
  <c r="E8" i="48"/>
  <c r="E26" s="1"/>
  <c r="E33" s="1"/>
  <c r="G27"/>
  <c r="G33" s="1"/>
  <c r="G15"/>
  <c r="K16" i="14"/>
  <c r="K27" s="1"/>
  <c r="I63"/>
  <c r="R20"/>
  <c r="F16"/>
  <c r="F27" s="1"/>
  <c r="E15" i="48"/>
  <c r="J15"/>
  <c r="N8"/>
  <c r="N26" s="1"/>
  <c r="O13" i="14"/>
  <c r="F8" i="48"/>
  <c r="G13" i="14"/>
  <c r="E22" i="16"/>
  <c r="F43" i="14" s="1"/>
  <c r="F46" s="1"/>
  <c r="F61" s="1"/>
  <c r="F22" i="16"/>
  <c r="G43" i="14" s="1"/>
  <c r="N22" i="16"/>
  <c r="O43" i="14" s="1"/>
  <c r="J22" i="16"/>
  <c r="K43" i="14" s="1"/>
  <c r="K46" s="1"/>
  <c r="K61" s="1"/>
  <c r="K63" l="1"/>
  <c r="F63"/>
  <c r="R1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<sst xmlns="http://schemas.openxmlformats.org/spreadsheetml/2006/main" count="2383" uniqueCount="881">
  <si>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</si>
  <si>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</si>
  <si>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</si>
  <si>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</si>
  <si>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</si>
  <si>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</si>
  <si>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</si>
  <si>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</si>
  <si>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</si>
  <si>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</si>
  <si>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</si>
  <si>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</si>
  <si>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</si>
  <si>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</si>
  <si>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</si>
  <si>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</si>
  <si>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</si>
  <si>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</si>
  <si>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</si>
  <si>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</si>
  <si>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</si>
  <si>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</si>
  <si>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</si>
  <si>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</si>
  <si>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</si>
  <si>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</si>
  <si>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</si>
  <si>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</si>
  <si>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</si>
  <si>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</si>
  <si>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</si>
  <si>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</si>
  <si>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</si>
  <si>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</si>
  <si>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</si>
  <si>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</si>
  <si>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</si>
  <si>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</si>
  <si>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</si>
  <si>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</si>
  <si>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</si>
  <si>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</si>
  <si>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</si>
  <si>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</si>
  <si>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</si>
  <si>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</si>
  <si>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</si>
  <si>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</si>
  <si>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</si>
  <si>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</si>
  <si>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</si>
  <si>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</si>
  <si>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</si>
  <si>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</si>
  <si>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</si>
  <si>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</si>
  <si>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</si>
  <si>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</si>
  <si>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</si>
  <si>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</si>
  <si>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</si>
  <si>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</si>
  <si>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</si>
  <si>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</si>
  <si>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</si>
  <si>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</si>
  <si>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</si>
  <si>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</si>
  <si>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</si>
  <si>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</si>
  <si>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</si>
  <si>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</si>
  <si>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</si>
  <si>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</si>
  <si>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</si>
  <si>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</si>
  <si>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</si>
  <si>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</si>
  <si>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</si>
  <si>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</si>
  <si>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</si>
  <si>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</si>
  <si>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</si>
  <si>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</si>
  <si>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</si>
  <si>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</si>
  <si>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</si>
  <si>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</si>
  <si>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</si>
  <si>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</si>
  <si>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</si>
  <si>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</si>
  <si>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</si>
  <si>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</si>
  <si>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</si>
  <si>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</si>
  <si>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</si>
  <si>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</si>
  <si>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</si>
  <si>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</si>
  <si>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</si>
  <si>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</si>
  <si>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</si>
  <si>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</si>
  <si>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</si>
  <si>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</si>
  <si>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</si>
  <si>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</si>
  <si>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</si>
  <si>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</si>
  <si>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</si>
  <si>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</si>
  <si>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</si>
  <si>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</si>
  <si>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</si>
  <si>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</si>
  <si>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</si>
  <si>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</si>
  <si>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</si>
  <si>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</si>
  <si>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</si>
  <si>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</si>
  <si>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</si>
  <si>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</si>
  <si>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</si>
  <si>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</si>
  <si>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</si>
  <si>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</si>
  <si>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</si>
  <si>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</si>
  <si>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</si>
  <si>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</si>
  <si>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</si>
  <si>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</si>
  <si>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</si>
  <si>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</si>
  <si>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</si>
  <si>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</si>
  <si>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</si>
  <si>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</si>
  <si>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</si>
  <si>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</si>
  <si>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</si>
  <si>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</si>
  <si>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</si>
  <si>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</si>
  <si>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</si>
  <si>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</si>
  <si>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</si>
  <si>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</si>
  <si>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</si>
  <si>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</si>
  <si>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</si>
  <si>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</si>
  <si>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</si>
  <si>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</si>
  <si>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</si>
  <si>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</si>
  <si>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</si>
  <si>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</si>
  <si>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</si>
  <si>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</si>
  <si>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</si>
  <si>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</si>
  <si>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</si>
  <si>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</si>
  <si>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</si>
  <si>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</si>
  <si>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</si>
  <si>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</si>
  <si>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</si>
  <si>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</si>
  <si>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</si>
  <si>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</si>
  <si>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</si>
  <si>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</si>
  <si>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</si>
  <si>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</si>
  <si>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</si>
  <si>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</si>
  <si>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</si>
  <si>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</si>
  <si>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</si>
  <si>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</si>
  <si>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</si>
  <si>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</si>
  <si>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</si>
  <si>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</si>
  <si>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</si>
  <si>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</si>
  <si>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</si>
  <si>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</si>
  <si>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</si>
  <si>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</si>
  <si>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</si>
  <si>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</si>
  <si>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</si>
  <si>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</si>
  <si>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</si>
  <si>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</si>
  <si>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</si>
  <si>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</si>
  <si>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</si>
  <si>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</si>
  <si>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</si>
  <si>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</si>
  <si>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</si>
  <si>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</si>
  <si>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</si>
  <si>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</si>
  <si>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</si>
  <si>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</si>
  <si>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</si>
  <si>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</si>
  <si>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</si>
  <si>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</si>
  <si>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</si>
  <si>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</si>
  <si>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</si>
  <si>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</si>
  <si>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</si>
  <si>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</si>
  <si>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</si>
  <si>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</si>
  <si>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</si>
  <si>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</si>
  <si>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</si>
  <si>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</si>
  <si>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</si>
  <si>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</si>
  <si>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</si>
  <si>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</si>
  <si>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</si>
  <si>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</si>
  <si>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</si>
  <si>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</si>
  <si>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</si>
  <si>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</si>
  <si>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</si>
  <si>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</si>
  <si>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</si>
  <si>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</si>
  <si>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</si>
  <si>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</si>
  <si>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</si>
  <si>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</si>
  <si>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</si>
  <si>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</si>
  <si>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</si>
  <si>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</si>
  <si>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</si>
  <si>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</si>
  <si>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</si>
  <si>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</si>
  <si>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</si>
  <si>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</si>
  <si>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</si>
  <si>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</si>
  <si>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</si>
  <si>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</si>
  <si>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</si>
  <si>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</si>
  <si>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</si>
  <si>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</si>
  <si>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</si>
  <si>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</si>
  <si>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</si>
  <si>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</si>
  <si>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</si>
  <si>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</si>
  <si>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</si>
  <si>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</si>
  <si>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</si>
  <si>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</si>
  <si>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</si>
  <si>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</si>
  <si>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</si>
  <si>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</si>
  <si>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</si>
  <si>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</si>
  <si>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</si>
  <si>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</si>
  <si>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</si>
  <si>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</si>
  <si>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</si>
  <si>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</si>
  <si>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</si>
  <si>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</si>
  <si>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</si>
  <si>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</si>
  <si>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</si>
  <si>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</si>
  <si>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</si>
  <si>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</si>
  <si>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</si>
  <si>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</si>
  <si>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</si>
  <si>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</si>
  <si>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</si>
  <si>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</si>
  <si>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</si>
  <si>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</si>
  <si>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</si>
  <si>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</si>
  <si>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</si>
  <si>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</si>
  <si>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</si>
  <si>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</si>
  <si>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</si>
  <si>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</si>
  <si>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</si>
  <si>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</si>
  <si>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</si>
  <si>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</si>
  <si>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</si>
  <si>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</si>
  <si>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</si>
  <si>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</si>
  <si>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</si>
  <si>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</si>
  <si>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</si>
  <si>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</si>
  <si>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</si>
  <si>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</si>
  <si>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</si>
  <si>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</si>
  <si>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</si>
  <si>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</si>
  <si>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</si>
  <si>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</si>
  <si>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</si>
  <si>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</si>
  <si>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</si>
  <si>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</si>
  <si>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</si>
  <si>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</si>
  <si>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</si>
  <si>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</si>
  <si>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</si>
  <si>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</si>
  <si>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</si>
  <si>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</si>
  <si>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</si>
  <si>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</si>
  <si>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</si>
  <si>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</si>
  <si>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</si>
  <si>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</si>
  <si>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</si>
  <si>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</si>
  <si>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</si>
  <si>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</si>
  <si>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</si>
  <si>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</si>
  <si>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</si>
  <si>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</si>
  <si>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</si>
  <si>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</si>
  <si>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</si>
  <si>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</si>
  <si>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</si>
  <si>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</si>
  <si>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</si>
  <si>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</si>
  <si>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</si>
  <si>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</si>
  <si>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</si>
  <si>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</si>
  <si>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</si>
  <si>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</si>
  <si>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</si>
  <si>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</si>
  <si>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</si>
  <si>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</si>
  <si>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</si>
  <si>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</si>
  <si>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</si>
  <si>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</si>
  <si>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</si>
  <si>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</si>
  <si>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</si>
  <si>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</si>
  <si>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</si>
  <si>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</si>
  <si>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</si>
  <si>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</si>
  <si>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</si>
  <si>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</si>
  <si>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</si>
  <si>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</si>
  <si>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</si>
  <si>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</si>
  <si>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</si>
  <si>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</si>
  <si>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</si>
  <si>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</si>
  <si>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</si>
  <si>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</si>
  <si>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</si>
  <si>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</si>
  <si>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</si>
  <si>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</si>
  <si>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</si>
  <si>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</si>
  <si>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</si>
  <si>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</si>
  <si>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</si>
  <si>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</si>
  <si>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</si>
  <si>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</si>
  <si>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</si>
  <si>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</si>
  <si>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</si>
  <si>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</si>
  <si>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</si>
  <si>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</si>
  <si>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</si>
  <si>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</si>
  <si>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</si>
  <si>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</si>
  <si>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</si>
  <si>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</si>
  <si>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</si>
  <si>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</si>
  <si>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</si>
  <si>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</si>
  <si>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</si>
  <si>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</si>
  <si>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</si>
  <si>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</si>
  <si>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</si>
  <si>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</si>
  <si>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</si>
  <si>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</si>
  <si>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</si>
  <si>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</si>
  <si>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</si>
  <si>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</si>
  <si>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</si>
  <si>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</si>
  <si>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</si>
  <si>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</si>
  <si>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</si>
  <si>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</si>
  <si>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</si>
  <si>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</si>
  <si>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</si>
  <si>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</si>
  <si>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</si>
  <si>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</si>
  <si>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</si>
  <si>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</si>
  <si>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</si>
  <si>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</si>
  <si>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</si>
  <si>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</si>
  <si>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</si>
  <si>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</si>
  <si>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</si>
  <si>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</si>
  <si>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</si>
  <si>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</si>
  <si>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</si>
  <si>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</si>
  <si>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</si>
  <si>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</si>
  <si>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</si>
  <si>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</si>
  <si>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</si>
  <si>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</si>
  <si>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</si>
  <si>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</si>
  <si>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</si>
  <si>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</si>
  <si>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</si>
  <si>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</si>
  <si>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</si>
  <si>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</si>
  <si>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</si>
  <si>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</si>
  <si>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</si>
  <si>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</si>
  <si>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</si>
  <si>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</si>
  <si>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</si>
  <si>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</si>
  <si>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</si>
  <si>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</si>
  <si>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</si>
  <si>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</si>
  <si>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</si>
  <si>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</si>
  <si>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</si>
  <si>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</si>
  <si>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</si>
  <si>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</si>
  <si>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</si>
  <si>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</si>
  <si>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</si>
  <si>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</si>
  <si>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</si>
  <si>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</si>
  <si>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</si>
  <si>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</si>
  <si>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</si>
  <si>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</si>
  <si>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</si>
  <si>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</si>
  <si>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</si>
  <si>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</si>
  <si>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</si>
  <si>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</si>
  <si>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</si>
  <si>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</si>
  <si>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</si>
  <si>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</si>
  <si>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</si>
  <si>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</si>
  <si>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</si>
  <si>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</si>
  <si>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</si>
  <si>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</si>
  <si>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</si>
  <si>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</si>
  <si>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</si>
  <si>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</si>
  <si>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</si>
  <si>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</si>
  <si>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</si>
  <si>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</si>
  <si>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</si>
  <si>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</si>
  <si>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</si>
  <si>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</si>
  <si>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</si>
  <si>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</si>
  <si>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</si>
  <si>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</si>
  <si>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</si>
  <si>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</si>
  <si>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</si>
  <si>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</si>
  <si>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</si>
  <si>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</si>
  <si>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</si>
  <si>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</si>
  <si>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</si>
  <si>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</si>
  <si>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</si>
  <si>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</si>
  <si>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</si>
  <si>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</si>
  <si>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</si>
  <si>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</si>
  <si>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</si>
  <si>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</si>
  <si>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</si>
  <si>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</si>
  <si>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</si>
  <si>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</si>
  <si>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</si>
  <si>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</si>
  <si>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</si>
  <si>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</si>
  <si>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</si>
  <si>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</si>
  <si>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</si>
  <si>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</si>
  <si>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</si>
  <si>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</si>
  <si>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</si>
  <si>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</si>
  <si>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</si>
  <si>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</si>
  <si>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</si>
  <si>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</si>
  <si>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</si>
  <si>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</si>
  <si>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</si>
  <si>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</si>
  <si>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</si>
  <si>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</si>
  <si>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</si>
  <si>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</si>
  <si>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</si>
  <si>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</si>
  <si>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</si>
  <si>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</si>
  <si>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</si>
  <si>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</si>
  <si>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</si>
  <si>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</si>
  <si>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</si>
  <si>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</si>
  <si>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</si>
  <si>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</si>
  <si>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</si>
  <si>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</si>
  <si>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</si>
  <si>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</si>
  <si>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</si>
  <si>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</si>
  <si>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</si>
  <si>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</si>
  <si>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</si>
  <si>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</si>
  <si>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</si>
  <si>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</si>
  <si>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</si>
  <si>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</si>
  <si>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</si>
  <si>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</si>
  <si>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</si>
  <si>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</si>
  <si>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</si>
  <si>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</si>
  <si>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</si>
  <si>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</si>
  <si>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</si>
  <si>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</si>
  <si>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</si>
  <si>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</si>
  <si>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</si>
  <si>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</si>
  <si>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</si>
  <si>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</si>
  <si>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</si>
  <si>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</si>
  <si>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</si>
  <si>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</si>
  <si>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</si>
  <si>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</si>
  <si>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</si>
  <si>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</si>
  <si>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</si>
  <si>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</si>
  <si>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</si>
  <si>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</si>
  <si>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</si>
  <si>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</si>
  <si>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</si>
  <si>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</si>
  <si>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</si>
  <si>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</si>
  <si>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</si>
  <si>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</si>
  <si>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</si>
  <si>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</si>
  <si>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</si>
  <si>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</si>
  <si>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</si>
  <si>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</si>
  <si>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</si>
  <si>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</si>
  <si>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</si>
  <si>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</si>
  <si>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</si>
  <si>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</si>
  <si>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</si>
  <si>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</si>
  <si>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</si>
  <si>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</si>
  <si>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</si>
  <si>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</si>
  <si>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</si>
  <si>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</si>
  <si>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</si>
  <si>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</si>
  <si>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</si>
  <si>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</si>
  <si>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</si>
  <si>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</si>
  <si>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</si>
  <si>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</si>
  <si>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</si>
  <si>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</si>
  <si>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</si>
  <si>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</si>
  <si>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</si>
  <si>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</si>
  <si>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</si>
  <si>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</si>
  <si>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</si>
  <si>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</si>
  <si>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</si>
  <si>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</si>
  <si>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</si>
  <si>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</si>
  <si>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</si>
  <si>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</si>
  <si>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</si>
  <si>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</si>
  <si>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</si>
  <si>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</si>
  <si>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</si>
  <si>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</si>
  <si>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</si>
  <si>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</si>
  <si>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</si>
  <si>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</si>
  <si>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</si>
  <si>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</si>
  <si>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</si>
  <si>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</si>
  <si>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</si>
  <si>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</si>
  <si>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</si>
  <si>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</si>
  <si>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</si>
  <si>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</si>
  <si>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</si>
  <si>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</si>
  <si>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</si>
  <si>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</si>
  <si>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</si>
  <si>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</si>
  <si>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</si>
  <si>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</si>
  <si>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</si>
  <si>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</si>
  <si>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</si>
  <si>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</si>
  <si>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</si>
  <si>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</si>
  <si>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</si>
  <si>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</si>
  <si>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</si>
  <si>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</si>
  <si>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</si>
  <si>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</si>
  <si>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</si>
  <si>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</si>
  <si>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</si>
  <si>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</si>
  <si>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</si>
  <si>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</si>
  <si>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</si>
  <si>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</si>
  <si>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</si>
  <si>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</si>
  <si>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</si>
  <si>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</si>
  <si>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</si>
  <si>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</si>
  <si>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</si>
  <si>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</si>
  <si>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</si>
  <si>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</si>
  <si>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</si>
  <si>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</si>
  <si>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</si>
  <si>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</si>
  <si>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</si>
  <si>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</si>
  <si>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</si>
  <si>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</si>
  <si>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</si>
  <si>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</si>
  <si>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</si>
  <si>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</si>
  <si>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</si>
  <si>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</si>
  <si>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</si>
  <si>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</si>
  <si>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</si>
  <si>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</si>
  <si>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</si>
  <si>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</si>
  <si>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</si>
  <si>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</si>
  <si>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</si>
  <si>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</si>
  <si>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</si>
  <si>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</si>
  <si>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</si>
  <si>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</si>
  <si>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</si>
  <si>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</si>
  <si>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</si>
  <si>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</si>
  <si>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</si>
  <si>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</si>
  <si>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</si>
  <si>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</si>
  <si>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</si>
  <si>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</si>
  <si>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</si>
  <si>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</si>
  <si>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</si>
  <si>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</si>
  <si>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</si>
  <si>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</si>
  <si>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</si>
  <si>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</si>
  <si>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</si>
  <si>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</si>
  <si>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</si>
  <si>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</si>
  <si>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</si>
  <si>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</si>
  <si>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</si>
  <si>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</si>
  <si>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</si>
  <si>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</si>
  <si>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</si>
  <si>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</si>
  <si>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</si>
  <si>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</si>
  <si>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</si>
  <si>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</si>
  <si>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</si>
  <si>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</si>
  <si>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</si>
  <si>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</si>
  <si>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</si>
  <si>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</si>
  <si>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</si>
  <si>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</si>
  <si>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</si>
  <si>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</si>
  <si>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</si>
  <si>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</si>
  <si>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</si>
  <si>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</si>
  <si>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</si>
  <si>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</si>
  <si>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</si>
  <si>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</si>
  <si>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</si>
  <si>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</si>
  <si>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</si>
  <si>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</si>
  <si>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</si>
  <si>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</si>
  <si>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</si>
  <si>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</si>
  <si>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</si>
  <si>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</si>
  <si>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</si>
  <si>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</si>
  <si>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</si>
  <si>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</si>
  <si>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</si>
  <si>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</si>
  <si>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</si>
  <si>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</si>
  <si>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</si>
  <si>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</si>
  <si>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</si>
  <si>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</si>
  <si>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</si>
  <si>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</si>
  <si>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</si>
  <si>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</si>
  <si>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</si>
  <si>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</si>
  <si>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</si>
  <si>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</si>
  <si>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</si>
  <si>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</si>
  <si>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</si>
  <si>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</si>
  <si>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</si>
  <si>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</si>
  <si>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</si>
  <si>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</si>
  <si>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</si>
  <si>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</si>
  <si>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</si>
  <si>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</si>
  <si>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</si>
  <si>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</si>
  <si>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</si>
  <si>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23064</t>
  </si>
  <si>
    <t>PEPINGEN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</si>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</sst>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45052.869691285217</c:v>
                </c:pt>
                <c:pt idx="1">
                  <c:v>3496.2816297631921</c:v>
                </c:pt>
                <c:pt idx="2">
                  <c:v>397.52600000000001</c:v>
                </c:pt>
                <c:pt idx="3">
                  <c:v>6520.5483285666805</c:v>
                </c:pt>
                <c:pt idx="4">
                  <c:v>1666.2783919112658</c:v>
                </c:pt>
                <c:pt idx="5">
                  <c:v>50031.158118525462</c:v>
                </c:pt>
                <c:pt idx="6">
                  <c:v>1166.1449502374185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45052.869691285217</c:v>
                </c:pt>
                <c:pt idx="1">
                  <c:v>3496.2816297631921</c:v>
                </c:pt>
                <c:pt idx="2">
                  <c:v>397.52600000000001</c:v>
                </c:pt>
                <c:pt idx="3">
                  <c:v>6520.5483285666805</c:v>
                </c:pt>
                <c:pt idx="4">
                  <c:v>1666.2783919112658</c:v>
                </c:pt>
                <c:pt idx="5">
                  <c:v>50031.158118525462</c:v>
                </c:pt>
                <c:pt idx="6">
                  <c:v>1166.1449502374185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9582.3396148227657</c:v>
                </c:pt>
                <c:pt idx="2">
                  <c:v>695.80834492676331</c:v>
                </c:pt>
                <c:pt idx="3">
                  <c:v>78.408155293645834</c:v>
                </c:pt>
                <c:pt idx="4">
                  <c:v>1667.3918994316598</c:v>
                </c:pt>
                <c:pt idx="5">
                  <c:v>327.12414964413006</c:v>
                </c:pt>
                <c:pt idx="6">
                  <c:v>12502.835432166972</c:v>
                </c:pt>
                <c:pt idx="7">
                  <c:v>294.6271786218544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8208"/>
        <c:axId val="183304576"/>
      </c:barChart>
      <c:catAx>
        <c:axId val="183278208"/>
        <c:scaling>
          <c:orientation val="minMax"/>
        </c:scaling>
        <c:axPos val="b"/>
        <c:numFmt formatCode="General" sourceLinked="0"/>
        <c:tickLblPos val="nextTo"/>
        <c:crossAx val="183304576"/>
        <c:crosses val="autoZero"/>
        <c:auto val="1"/>
        <c:lblAlgn val="ctr"/>
        <c:lblOffset val="100"/>
      </c:catAx>
      <c:valAx>
        <c:axId val="183304576"/>
        <c:scaling>
          <c:orientation val="minMax"/>
        </c:scaling>
        <c:axPos val="l"/>
        <c:majorGridlines>
          <c:spPr>
            <a:ln>
              <a:noFill/>
            </a:ln>
          </c:spPr>
        </c:majorGridlines>
        <c:numFmt formatCode="#,##0" sourceLinked="1"/>
        <c:tickLblPos val="nextTo"/>
        <c:crossAx val="1832782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9582.3396148227657</c:v>
                </c:pt>
                <c:pt idx="2">
                  <c:v>695.80834492676331</c:v>
                </c:pt>
                <c:pt idx="3">
                  <c:v>78.408155293645834</c:v>
                </c:pt>
                <c:pt idx="4">
                  <c:v>1667.3918994316598</c:v>
                </c:pt>
                <c:pt idx="5">
                  <c:v>327.12414964413006</c:v>
                </c:pt>
                <c:pt idx="6">
                  <c:v>12502.835432166972</c:v>
                </c:pt>
                <c:pt idx="7">
                  <c:v>294.6271786218544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23064</v>
      </c>
      <c r="B6" s="415"/>
      <c r="C6" s="416"/>
    </row>
    <row r="7" spans="1:7" s="413" customFormat="1" ht="15.75" customHeight="1">
      <c r="A7" s="417" t="str">
        <f>txtMunicipality</f>
        <v>PEPINGEN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0.19724031961090804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0.19724031961090804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1624</v>
      </c>
      <c r="C9" s="342">
        <v>1755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2644.82</v>
      </c>
    </row>
    <row r="15" spans="1:6">
      <c r="A15" s="348" t="s">
        <v>184</v>
      </c>
      <c r="B15" s="334">
        <v>21</v>
      </c>
    </row>
    <row r="16" spans="1:6">
      <c r="A16" s="348" t="s">
        <v>6</v>
      </c>
      <c r="B16" s="334">
        <v>559</v>
      </c>
    </row>
    <row r="17" spans="1:6">
      <c r="A17" s="348" t="s">
        <v>7</v>
      </c>
      <c r="B17" s="334">
        <v>961</v>
      </c>
    </row>
    <row r="18" spans="1:6">
      <c r="A18" s="348" t="s">
        <v>8</v>
      </c>
      <c r="B18" s="334">
        <v>989</v>
      </c>
    </row>
    <row r="19" spans="1:6">
      <c r="A19" s="348" t="s">
        <v>9</v>
      </c>
      <c r="B19" s="334">
        <v>841</v>
      </c>
    </row>
    <row r="20" spans="1:6">
      <c r="A20" s="348" t="s">
        <v>10</v>
      </c>
      <c r="B20" s="334">
        <v>700</v>
      </c>
    </row>
    <row r="21" spans="1:6">
      <c r="A21" s="348" t="s">
        <v>11</v>
      </c>
      <c r="B21" s="334">
        <v>935</v>
      </c>
    </row>
    <row r="22" spans="1:6">
      <c r="A22" s="348" t="s">
        <v>12</v>
      </c>
      <c r="B22" s="334">
        <v>6118</v>
      </c>
    </row>
    <row r="23" spans="1:6">
      <c r="A23" s="348" t="s">
        <v>13</v>
      </c>
      <c r="B23" s="334">
        <v>59</v>
      </c>
    </row>
    <row r="24" spans="1:6">
      <c r="A24" s="348" t="s">
        <v>14</v>
      </c>
      <c r="B24" s="334">
        <v>5</v>
      </c>
    </row>
    <row r="25" spans="1:6">
      <c r="A25" s="348" t="s">
        <v>15</v>
      </c>
      <c r="B25" s="334">
        <v>328</v>
      </c>
    </row>
    <row r="26" spans="1:6">
      <c r="A26" s="348" t="s">
        <v>16</v>
      </c>
      <c r="B26" s="334">
        <v>386</v>
      </c>
    </row>
    <row r="27" spans="1:6">
      <c r="A27" s="348" t="s">
        <v>17</v>
      </c>
      <c r="B27" s="334">
        <v>4</v>
      </c>
    </row>
    <row r="28" spans="1:6" s="356" customFormat="1">
      <c r="A28" s="355" t="s">
        <v>18</v>
      </c>
      <c r="B28" s="355">
        <v>86</v>
      </c>
    </row>
    <row r="29" spans="1:6">
      <c r="A29" s="355" t="s">
        <v>744</v>
      </c>
      <c r="B29" s="355">
        <v>59</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1218</v>
      </c>
    </row>
    <row r="39" spans="1:6">
      <c r="A39" s="348" t="s">
        <v>30</v>
      </c>
      <c r="B39" s="348" t="s">
        <v>31</v>
      </c>
      <c r="C39" s="334">
        <v>246</v>
      </c>
      <c r="D39" s="334">
        <v>3721521.95</v>
      </c>
      <c r="E39" s="334">
        <v>1525</v>
      </c>
      <c r="F39" s="334">
        <v>7222724.7901699552</v>
      </c>
    </row>
    <row r="40" spans="1:6">
      <c r="A40" s="348" t="s">
        <v>30</v>
      </c>
      <c r="B40" s="348" t="s">
        <v>29</v>
      </c>
      <c r="C40" s="334">
        <v>0</v>
      </c>
      <c r="D40" s="334">
        <v>0</v>
      </c>
      <c r="E40" s="334">
        <v>0</v>
      </c>
      <c r="F40" s="334">
        <v>0</v>
      </c>
    </row>
    <row r="41" spans="1:6">
      <c r="A41" s="348" t="s">
        <v>32</v>
      </c>
      <c r="B41" s="348" t="s">
        <v>33</v>
      </c>
      <c r="C41" s="334">
        <v>4</v>
      </c>
      <c r="D41" s="334">
        <v>88239</v>
      </c>
      <c r="E41" s="334">
        <v>49</v>
      </c>
      <c r="F41" s="334">
        <v>504753.28899999999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53021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87172</v>
      </c>
      <c r="E48" s="334">
        <v>3</v>
      </c>
      <c r="F48" s="334">
        <v>29946</v>
      </c>
    </row>
    <row r="49" spans="1:6">
      <c r="A49" s="348" t="s">
        <v>32</v>
      </c>
      <c r="B49" s="348" t="s">
        <v>40</v>
      </c>
      <c r="C49" s="334">
        <v>0</v>
      </c>
      <c r="D49" s="334">
        <v>0</v>
      </c>
      <c r="E49" s="334">
        <v>0</v>
      </c>
      <c r="F49" s="334">
        <v>0</v>
      </c>
    </row>
    <row r="50" spans="1:6">
      <c r="A50" s="348" t="s">
        <v>32</v>
      </c>
      <c r="B50" s="348" t="s">
        <v>41</v>
      </c>
      <c r="C50" s="334">
        <v>0</v>
      </c>
      <c r="D50" s="334">
        <v>0</v>
      </c>
      <c r="E50" s="334">
        <v>3</v>
      </c>
      <c r="F50" s="334">
        <v>158435.16699999999</v>
      </c>
    </row>
    <row r="51" spans="1:6">
      <c r="A51" s="348" t="s">
        <v>42</v>
      </c>
      <c r="B51" s="348" t="s">
        <v>43</v>
      </c>
      <c r="C51" s="334">
        <v>0</v>
      </c>
      <c r="D51" s="334">
        <v>0</v>
      </c>
      <c r="E51" s="334">
        <v>72</v>
      </c>
      <c r="F51" s="334">
        <v>1212817</v>
      </c>
    </row>
    <row r="52" spans="1:6">
      <c r="A52" s="348" t="s">
        <v>42</v>
      </c>
      <c r="B52" s="348" t="s">
        <v>29</v>
      </c>
      <c r="C52" s="334">
        <v>2</v>
      </c>
      <c r="D52" s="334">
        <v>48605</v>
      </c>
      <c r="E52" s="334">
        <v>0</v>
      </c>
      <c r="F52" s="334">
        <v>0</v>
      </c>
    </row>
    <row r="53" spans="1:6">
      <c r="A53" s="348" t="s">
        <v>44</v>
      </c>
      <c r="B53" s="348" t="s">
        <v>45</v>
      </c>
      <c r="C53" s="334">
        <v>8</v>
      </c>
      <c r="D53" s="334">
        <v>255589</v>
      </c>
      <c r="E53" s="334">
        <v>24</v>
      </c>
      <c r="F53" s="334">
        <v>155803.75</v>
      </c>
    </row>
    <row r="54" spans="1:6">
      <c r="A54" s="348" t="s">
        <v>46</v>
      </c>
      <c r="B54" s="348" t="s">
        <v>47</v>
      </c>
      <c r="C54" s="334">
        <v>0</v>
      </c>
      <c r="D54" s="334">
        <v>0</v>
      </c>
      <c r="E54" s="334">
        <v>1</v>
      </c>
      <c r="F54" s="334">
        <v>397526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v>
      </c>
      <c r="D57" s="334">
        <v>121228.6</v>
      </c>
      <c r="E57" s="334">
        <v>19</v>
      </c>
      <c r="F57" s="334">
        <v>123713</v>
      </c>
    </row>
    <row r="58" spans="1:6">
      <c r="A58" s="348" t="s">
        <v>49</v>
      </c>
      <c r="B58" s="348" t="s">
        <v>51</v>
      </c>
      <c r="C58" s="334">
        <v>0</v>
      </c>
      <c r="D58" s="334">
        <v>0</v>
      </c>
      <c r="E58" s="334">
        <v>8</v>
      </c>
      <c r="F58" s="334">
        <v>728741</v>
      </c>
    </row>
    <row r="59" spans="1:6">
      <c r="A59" s="348" t="s">
        <v>49</v>
      </c>
      <c r="B59" s="348" t="s">
        <v>52</v>
      </c>
      <c r="C59" s="334">
        <v>6</v>
      </c>
      <c r="D59" s="334">
        <v>156748</v>
      </c>
      <c r="E59" s="334">
        <v>25</v>
      </c>
      <c r="F59" s="334">
        <v>439538</v>
      </c>
    </row>
    <row r="60" spans="1:6">
      <c r="A60" s="348" t="s">
        <v>49</v>
      </c>
      <c r="B60" s="348" t="s">
        <v>53</v>
      </c>
      <c r="C60" s="334">
        <v>3</v>
      </c>
      <c r="D60" s="334">
        <v>88285</v>
      </c>
      <c r="E60" s="334">
        <v>20</v>
      </c>
      <c r="F60" s="334">
        <v>451537</v>
      </c>
    </row>
    <row r="61" spans="1:6">
      <c r="A61" s="348" t="s">
        <v>49</v>
      </c>
      <c r="B61" s="348" t="s">
        <v>54</v>
      </c>
      <c r="C61" s="334">
        <v>14</v>
      </c>
      <c r="D61" s="334">
        <v>173692.6</v>
      </c>
      <c r="E61" s="334">
        <v>94</v>
      </c>
      <c r="F61" s="334">
        <v>617775</v>
      </c>
    </row>
    <row r="62" spans="1:6">
      <c r="A62" s="348" t="s">
        <v>49</v>
      </c>
      <c r="B62" s="348" t="s">
        <v>55</v>
      </c>
      <c r="C62" s="334">
        <v>0</v>
      </c>
      <c r="D62" s="334">
        <v>0</v>
      </c>
      <c r="E62" s="334">
        <v>6</v>
      </c>
      <c r="F62" s="334">
        <v>26180</v>
      </c>
    </row>
    <row r="63" spans="1:6">
      <c r="A63" s="348" t="s">
        <v>49</v>
      </c>
      <c r="B63" s="348" t="s">
        <v>29</v>
      </c>
      <c r="C63" s="334">
        <v>2</v>
      </c>
      <c r="D63" s="334">
        <v>82817</v>
      </c>
      <c r="E63" s="334">
        <v>1</v>
      </c>
      <c r="F63" s="334">
        <v>19401.955066987</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5</v>
      </c>
      <c r="F66" s="334">
        <v>40022.864999999998</v>
      </c>
    </row>
    <row r="67" spans="1:6">
      <c r="A67" s="355" t="s">
        <v>56</v>
      </c>
      <c r="B67" s="355" t="s">
        <v>59</v>
      </c>
      <c r="C67" s="334">
        <v>0</v>
      </c>
      <c r="D67" s="334">
        <v>0</v>
      </c>
      <c r="E67" s="334">
        <v>0</v>
      </c>
      <c r="F67" s="334">
        <v>0</v>
      </c>
    </row>
    <row r="68" spans="1:6">
      <c r="A68" s="341" t="s">
        <v>56</v>
      </c>
      <c r="B68" s="341" t="s">
        <v>60</v>
      </c>
      <c r="C68" s="334">
        <v>0</v>
      </c>
      <c r="D68" s="334">
        <v>0</v>
      </c>
      <c r="E68" s="334">
        <v>5</v>
      </c>
      <c r="F68" s="334">
        <v>29779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34059300</v>
      </c>
      <c r="E73" s="475">
        <v>34597229.316078767</v>
      </c>
    </row>
    <row r="74" spans="1:6">
      <c r="A74" s="348" t="s">
        <v>64</v>
      </c>
      <c r="B74" s="348" t="s">
        <v>657</v>
      </c>
      <c r="C74" s="1295" t="s">
        <v>659</v>
      </c>
      <c r="D74" s="475">
        <v>1782968</v>
      </c>
      <c r="E74" s="475">
        <v>1835938.3160234909</v>
      </c>
    </row>
    <row r="75" spans="1:6">
      <c r="A75" s="348" t="s">
        <v>65</v>
      </c>
      <c r="B75" s="348" t="s">
        <v>656</v>
      </c>
      <c r="C75" s="1295" t="s">
        <v>660</v>
      </c>
      <c r="D75" s="475">
        <v>24293085</v>
      </c>
      <c r="E75" s="475">
        <v>24648112.258368094</v>
      </c>
    </row>
    <row r="76" spans="1:6">
      <c r="A76" s="348" t="s">
        <v>65</v>
      </c>
      <c r="B76" s="348" t="s">
        <v>657</v>
      </c>
      <c r="C76" s="1295" t="s">
        <v>661</v>
      </c>
      <c r="D76" s="475">
        <v>819918</v>
      </c>
      <c r="E76" s="475">
        <v>844889.72242065601</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316278</v>
      </c>
      <c r="C83" s="475">
        <v>316708.32993814169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1333.7892866699547</v>
      </c>
    </row>
    <row r="92" spans="1:6">
      <c r="A92" s="341" t="s">
        <v>69</v>
      </c>
      <c r="B92" s="342">
        <v>117.44965417913195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v>
      </c>
    </row>
    <row r="98" spans="1:6">
      <c r="A98" s="348" t="s">
        <v>72</v>
      </c>
      <c r="B98" s="334">
        <v>0</v>
      </c>
    </row>
    <row r="99" spans="1:6">
      <c r="A99" s="348" t="s">
        <v>73</v>
      </c>
      <c r="B99" s="334">
        <v>51</v>
      </c>
    </row>
    <row r="100" spans="1:6">
      <c r="A100" s="348" t="s">
        <v>74</v>
      </c>
      <c r="B100" s="334">
        <v>148</v>
      </c>
    </row>
    <row r="101" spans="1:6">
      <c r="A101" s="348" t="s">
        <v>75</v>
      </c>
      <c r="B101" s="334">
        <v>49</v>
      </c>
    </row>
    <row r="102" spans="1:6">
      <c r="A102" s="348" t="s">
        <v>76</v>
      </c>
      <c r="B102" s="334">
        <v>22</v>
      </c>
    </row>
    <row r="103" spans="1:6">
      <c r="A103" s="348" t="s">
        <v>77</v>
      </c>
      <c r="B103" s="334">
        <v>94</v>
      </c>
    </row>
    <row r="104" spans="1:6">
      <c r="A104" s="348" t="s">
        <v>78</v>
      </c>
      <c r="B104" s="334">
        <v>1072</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1</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13498.658259514816</v>
      </c>
      <c r="C3" s="43" t="s">
        <v>170</v>
      </c>
      <c r="D3" s="43"/>
      <c r="E3" s="154"/>
      <c r="F3" s="43"/>
      <c r="G3" s="43"/>
      <c r="H3" s="43"/>
      <c r="I3" s="43"/>
      <c r="J3" s="43"/>
      <c r="K3" s="96"/>
    </row>
    <row r="4" spans="1:11">
      <c r="A4" s="383" t="s">
        <v>171</v>
      </c>
      <c r="B4" s="49">
        <f>IF(ISERROR('SEAP template'!B78+'SEAP template'!C78),0,'SEAP template'!B78+'SEAP template'!C78)</f>
        <v>1451.2389408490867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0.19724031961090804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397.52600000000001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397.52600000000001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0.19724031961090804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78.408155293645834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7222.7247901699557</v>
      </c>
      <c r="C5" s="17">
        <f>IF(ISERROR('Eigen informatie GS &amp; warmtenet'!B57),0,'Eigen informatie GS &amp; warmtenet'!B57)</f>
        <v>0</v>
      </c>
      <c r="D5" s="30">
        <f>(SUM(HH_hh_gas_kWh,HH_rest_gas_kWh)/1000)*0.902</f>
        <v>3356.8127989000004</v>
      </c>
      <c r="E5" s="17">
        <f>B46*B57</f>
        <v>1876.6663763500064</v>
      </c>
      <c r="F5" s="17">
        <f>B51*B62</f>
        <v>22160.373365118645</v>
      </c>
      <c r="G5" s="18"/>
      <c r="H5" s="17"/>
      <c r="I5" s="17"/>
      <c r="J5" s="17">
        <f>B50*B61+C50*C61</f>
        <v>2468.222887727964</v>
      </c>
      <c r="K5" s="17"/>
      <c r="L5" s="17"/>
      <c r="M5" s="17"/>
      <c r="N5" s="17">
        <f>B48*B59+C48*C59</f>
        <v>6144.7701863486864</v>
      </c>
      <c r="O5" s="17">
        <f>B69*B70*B71</f>
        <v>89.11</v>
      </c>
      <c r="P5" s="17">
        <f>B77*B78*B79/1000-B77*B78*B79/1000/B80</f>
        <v>400.4</v>
      </c>
    </row>
    <row r="6" spans="1:16">
      <c r="A6" s="16" t="s">
        <v>621</v>
      </c>
      <c r="B6" s="788">
        <f>kWh_PV_kleiner_dan_10kW</f>
        <v>1333.7892866699547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8556.5140768399106</v>
      </c>
      <c r="C8" s="21">
        <f>C5</f>
        <v>0</v>
      </c>
      <c r="D8" s="21">
        <f>D5</f>
        <v>3356.8127989000004</v>
      </c>
      <c r="E8" s="21">
        <f>E5</f>
        <v>1876.6663763500064</v>
      </c>
      <c r="F8" s="21">
        <f>F5</f>
        <v>22160.373365118645</v>
      </c>
      <c r="G8" s="21"/>
      <c r="H8" s="21"/>
      <c r="I8" s="21"/>
      <c r="J8" s="21">
        <f>J5</f>
        <v>2468.222887727964</v>
      </c>
      <c r="K8" s="21"/>
      <c r="L8" s="21">
        <f>L5</f>
        <v>0</v>
      </c>
      <c r="M8" s="21">
        <f>M5</f>
        <v>0</v>
      </c>
      <c r="N8" s="21">
        <f>N5</f>
        <v>6144.7701863486864</v>
      </c>
      <c r="O8" s="21">
        <f>O5</f>
        <v>89.11</v>
      </c>
      <c r="P8" s="21">
        <f>P5</f>
        <v>400.4</v>
      </c>
    </row>
    <row r="9" spans="1:16">
      <c r="B9" s="19"/>
      <c r="C9" s="19"/>
      <c r="D9" s="258"/>
      <c r="E9" s="19"/>
      <c r="F9" s="19"/>
      <c r="G9" s="19"/>
      <c r="H9" s="19"/>
      <c r="I9" s="19"/>
      <c r="J9" s="19"/>
      <c r="K9" s="19"/>
      <c r="L9" s="19"/>
      <c r="M9" s="19"/>
      <c r="N9" s="19"/>
      <c r="O9" s="19"/>
      <c r="P9" s="19"/>
    </row>
    <row r="10" spans="1:16">
      <c r="A10" s="24" t="s">
        <v>214</v>
      </c>
      <c r="B10" s="25">
        <f ca="1">'EF ele_warmte'!B12</f>
        <v>0.19724031961090804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1687.6895712711378</v>
      </c>
      <c r="C12" s="23">
        <f ca="1">C10*C8</f>
        <v>0</v>
      </c>
      <c r="D12" s="23">
        <f>D8*D10</f>
        <v>678.07618537780013</v>
      </c>
      <c r="E12" s="23">
        <f>E10*E8</f>
        <v>426.00326743145149</v>
      </c>
      <c r="F12" s="23">
        <f>F10*F8</f>
        <v>5916.8196884866784</v>
      </c>
      <c r="G12" s="23"/>
      <c r="H12" s="23"/>
      <c r="I12" s="23"/>
      <c r="J12" s="23">
        <f>J10*J8</f>
        <v>873.7509022556992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v>
      </c>
      <c r="C18" s="166" t="s">
        <v>111</v>
      </c>
      <c r="D18" s="228"/>
      <c r="E18" s="15"/>
    </row>
    <row r="19" spans="1:7">
      <c r="A19" s="171" t="s">
        <v>72</v>
      </c>
      <c r="B19" s="37">
        <f>aantalw2001_ander</f>
        <v>0</v>
      </c>
      <c r="C19" s="166" t="s">
        <v>111</v>
      </c>
      <c r="D19" s="229"/>
      <c r="E19" s="15"/>
    </row>
    <row r="20" spans="1:7">
      <c r="A20" s="171" t="s">
        <v>73</v>
      </c>
      <c r="B20" s="37">
        <f>aantalw2001_propaan</f>
        <v>51</v>
      </c>
      <c r="C20" s="167">
        <f>IF(ISERROR(B20/SUM($B$20,$B$21,$B$22)*100),0,B20/SUM($B$20,$B$21,$B$22)*100)</f>
        <v>20.56451612903226</v>
      </c>
      <c r="D20" s="229"/>
      <c r="E20" s="15"/>
    </row>
    <row r="21" spans="1:7">
      <c r="A21" s="171" t="s">
        <v>74</v>
      </c>
      <c r="B21" s="37">
        <f>aantalw2001_elektriciteit</f>
        <v>148</v>
      </c>
      <c r="C21" s="167">
        <f>IF(ISERROR(B21/SUM($B$20,$B$21,$B$22)*100),0,B21/SUM($B$20,$B$21,$B$22)*100)</f>
        <v>59.677419354838712</v>
      </c>
      <c r="D21" s="229"/>
      <c r="E21" s="15"/>
    </row>
    <row r="22" spans="1:7">
      <c r="A22" s="171" t="s">
        <v>75</v>
      </c>
      <c r="B22" s="37">
        <f>aantalw2001_hout</f>
        <v>49</v>
      </c>
      <c r="C22" s="167">
        <f>IF(ISERROR(B22/SUM($B$20,$B$21,$B$22)*100),0,B22/SUM($B$20,$B$21,$B$22)*100)</f>
        <v>19.758064516129032</v>
      </c>
      <c r="D22" s="229"/>
      <c r="E22" s="15"/>
    </row>
    <row r="23" spans="1:7">
      <c r="A23" s="171" t="s">
        <v>76</v>
      </c>
      <c r="B23" s="37">
        <f>aantalw2001_niet_gespec</f>
        <v>22</v>
      </c>
      <c r="C23" s="166" t="s">
        <v>111</v>
      </c>
      <c r="D23" s="228"/>
      <c r="E23" s="15"/>
    </row>
    <row r="24" spans="1:7">
      <c r="A24" s="171" t="s">
        <v>77</v>
      </c>
      <c r="B24" s="37">
        <f>aantalw2001_steenkool</f>
        <v>94</v>
      </c>
      <c r="C24" s="166" t="s">
        <v>111</v>
      </c>
      <c r="D24" s="229"/>
      <c r="E24" s="15"/>
    </row>
    <row r="25" spans="1:7">
      <c r="A25" s="171" t="s">
        <v>78</v>
      </c>
      <c r="B25" s="37">
        <f>aantalw2001_stookolie</f>
        <v>1072</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1624</v>
      </c>
      <c r="C28" s="36"/>
      <c r="D28" s="228"/>
    </row>
    <row r="29" spans="1:7" s="15" customFormat="1">
      <c r="A29" s="230" t="s">
        <v>794</v>
      </c>
      <c r="B29" s="37">
        <f>SUM(HH_hh_gas_aantal,HH_rest_gas_aantal)</f>
        <v>246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246</v>
      </c>
      <c r="C32" s="167">
        <f>IF(ISERROR(B32/SUM($B$32,$B$34,$B$35,$B$36,$B$38,$B$39)*100),0,B32/SUM($B$32,$B$34,$B$35,$B$36,$B$38,$B$39)*100)</f>
        <v>15.346225826575171</v>
      </c>
      <c r="D32" s="233"/>
      <c r="G32" s="15"/>
    </row>
    <row r="33" spans="1:7">
      <c r="A33" s="171" t="s">
        <v>72</v>
      </c>
      <c r="B33" s="34" t="s">
        <v>111</v>
      </c>
      <c r="C33" s="167"/>
      <c r="D33" s="233"/>
      <c r="G33" s="15"/>
    </row>
    <row r="34" spans="1:7">
      <c r="A34" s="171" t="s">
        <v>73</v>
      </c>
      <c r="B34" s="33">
        <f>IF((($B$28-$B$32-$B$39-$B$77-$B$38)*C20/100)&lt;0,0,($B$28-$B$32-$B$39-$B$77-$B$38)*C20/100)</f>
        <v>88.633064516129039</v>
      </c>
      <c r="C34" s="167">
        <f>IF(ISERROR(B34/SUM($B$32,$B$34,$B$35,$B$36,$B$38,$B$39)*100),0,B34/SUM($B$32,$B$34,$B$35,$B$36,$B$38,$B$39)*100)</f>
        <v>5.5291992836013124</v>
      </c>
      <c r="D34" s="233"/>
      <c r="G34" s="15"/>
    </row>
    <row r="35" spans="1:7">
      <c r="A35" s="171" t="s">
        <v>74</v>
      </c>
      <c r="B35" s="33">
        <f>IF((($B$28-$B$32-$B$39-$B$77-$B$38)*C21/100)&lt;0,0,($B$28-$B$32-$B$39-$B$77-$B$38)*C21/100)</f>
        <v>257.20967741935488</v>
      </c>
      <c r="C35" s="167">
        <f>IF(ISERROR(B35/SUM($B$32,$B$34,$B$35,$B$36,$B$38,$B$39)*100),0,B35/SUM($B$32,$B$34,$B$35,$B$36,$B$38,$B$39)*100)</f>
        <v>16.045519489666553</v>
      </c>
      <c r="D35" s="233"/>
      <c r="G35" s="15"/>
    </row>
    <row r="36" spans="1:7">
      <c r="A36" s="171" t="s">
        <v>75</v>
      </c>
      <c r="B36" s="33">
        <f>IF((($B$28-$B$32-$B$39-$B$77-$B$38)*C22/100)&lt;0,0,($B$28-$B$32-$B$39-$B$77-$B$38)*C22/100)</f>
        <v>85.157258064516142</v>
      </c>
      <c r="C36" s="167">
        <f>IF(ISERROR(B36/SUM($B$32,$B$34,$B$35,$B$36,$B$38,$B$39)*100),0,B36/SUM($B$32,$B$34,$B$35,$B$36,$B$38,$B$39)*100)</f>
        <v>5.3123679391463599</v>
      </c>
      <c r="D36" s="233"/>
      <c r="G36" s="15"/>
    </row>
    <row r="37" spans="1:7">
      <c r="A37" s="171" t="s">
        <v>76</v>
      </c>
      <c r="B37" s="34" t="s">
        <v>111</v>
      </c>
      <c r="C37" s="167"/>
      <c r="D37" s="173"/>
      <c r="G37" s="15"/>
    </row>
    <row r="38" spans="1:7">
      <c r="A38" s="171" t="s">
        <v>77</v>
      </c>
      <c r="B38" s="33">
        <f>IF((B24-(B29-B18)*0.1)&lt;0,0,B24-(B29-B18)*0.1)</f>
        <v>70</v>
      </c>
      <c r="C38" s="167">
        <f>IF(ISERROR(B38/SUM($B$32,$B$34,$B$35,$B$36,$B$38,$B$39)*100),0,B38/SUM($B$32,$B$34,$B$35,$B$36,$B$38,$B$39)*100)</f>
        <v>4.3668122270742353</v>
      </c>
      <c r="D38" s="234"/>
      <c r="G38" s="15"/>
    </row>
    <row r="39" spans="1:7">
      <c r="A39" s="171" t="s">
        <v>78</v>
      </c>
      <c r="B39" s="33">
        <f>IF((B25-(B29-B18))&lt;0,0,B25-(B29-B18)*0.9)</f>
        <v>856</v>
      </c>
      <c r="C39" s="167">
        <f>IF(ISERROR(B39/SUM($B$32,$B$34,$B$35,$B$36,$B$38,$B$39)*100),0,B39/SUM($B$32,$B$34,$B$35,$B$36,$B$38,$B$39)*100)</f>
        <v>53.39987523393637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246</v>
      </c>
      <c r="C44" s="34" t="s">
        <v>111</v>
      </c>
      <c r="D44" s="174"/>
    </row>
    <row r="45" spans="1:7">
      <c r="A45" s="171" t="s">
        <v>72</v>
      </c>
      <c r="B45" s="33" t="str">
        <f t="shared" si="0"/>
        <v>-</v>
      </c>
      <c r="C45" s="34" t="s">
        <v>111</v>
      </c>
      <c r="D45" s="174"/>
    </row>
    <row r="46" spans="1:7">
      <c r="A46" s="171" t="s">
        <v>73</v>
      </c>
      <c r="B46" s="33">
        <f t="shared" si="0"/>
        <v>88.633064516129039</v>
      </c>
      <c r="C46" s="34" t="s">
        <v>111</v>
      </c>
      <c r="D46" s="174"/>
    </row>
    <row r="47" spans="1:7">
      <c r="A47" s="171" t="s">
        <v>74</v>
      </c>
      <c r="B47" s="33">
        <f t="shared" si="0"/>
        <v>257.20967741935488</v>
      </c>
      <c r="C47" s="34" t="s">
        <v>111</v>
      </c>
      <c r="D47" s="174"/>
    </row>
    <row r="48" spans="1:7">
      <c r="A48" s="171" t="s">
        <v>75</v>
      </c>
      <c r="B48" s="33">
        <f t="shared" si="0"/>
        <v>85.157258064516142</v>
      </c>
      <c r="C48" s="33">
        <f>B48*10</f>
        <v>851.57258064516145</v>
      </c>
      <c r="D48" s="234"/>
    </row>
    <row r="49" spans="1:6">
      <c r="A49" s="171" t="s">
        <v>76</v>
      </c>
      <c r="B49" s="33" t="str">
        <f t="shared" si="0"/>
        <v>-</v>
      </c>
      <c r="C49" s="34" t="s">
        <v>111</v>
      </c>
      <c r="D49" s="234"/>
    </row>
    <row r="50" spans="1:6">
      <c r="A50" s="171" t="s">
        <v>77</v>
      </c>
      <c r="B50" s="33">
        <f t="shared" si="0"/>
        <v>70</v>
      </c>
      <c r="C50" s="33">
        <f>B50*2</f>
        <v>140</v>
      </c>
      <c r="D50" s="234"/>
    </row>
    <row r="51" spans="1:6">
      <c r="A51" s="171" t="s">
        <v>78</v>
      </c>
      <c r="B51" s="33">
        <f t="shared" si="0"/>
        <v>856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2406.8859550669868</v>
      </c>
      <c r="C5" s="17">
        <f>IF(ISERROR('Eigen informatie GS &amp; warmtenet'!B58),0,'Eigen informatie GS &amp; warmtenet'!B58)</f>
        <v>0</v>
      </c>
      <c r="D5" s="30">
        <f>SUM(D6:D12)</f>
        <v>561.73962240000003</v>
      </c>
      <c r="E5" s="17">
        <f>SUM(E6:E12)</f>
        <v>23.240830720922808</v>
      </c>
      <c r="F5" s="17">
        <f>SUM(F6:F12)</f>
        <v>383.24101253691015</v>
      </c>
      <c r="G5" s="18"/>
      <c r="H5" s="17"/>
      <c r="I5" s="17"/>
      <c r="J5" s="17">
        <f>SUM(J6:J12)</f>
        <v>2.7323066122626866E-3</v>
      </c>
      <c r="K5" s="17"/>
      <c r="L5" s="17"/>
      <c r="M5" s="17"/>
      <c r="N5" s="17">
        <f>SUM(N6:N12)</f>
        <v>119.60814339842624</v>
      </c>
      <c r="O5" s="17">
        <f>B38*B39*B40</f>
        <v>1.5633333333333335</v>
      </c>
      <c r="P5" s="17">
        <f>B46*B47*B48/1000-B46*B47*B48/1000/B49</f>
        <v>0</v>
      </c>
      <c r="R5" s="32"/>
    </row>
    <row r="6" spans="1:18">
      <c r="A6" s="32" t="s">
        <v>54</v>
      </c>
      <c r="B6" s="37">
        <f>B26</f>
        <v>617.77499999999998</v>
      </c>
      <c r="C6" s="33"/>
      <c r="D6" s="37">
        <f>IF(ISERROR(TER_kantoor_gas_kWh/1000),0,TER_kantoor_gas_kWh/1000)*0.902</f>
        <v>156.67072519999999</v>
      </c>
      <c r="E6" s="33">
        <f>$C$26*'E Balans VL '!I12/100/3.6*1000000</f>
        <v>3.872008231253958E-3</v>
      </c>
      <c r="F6" s="33">
        <f>$C$26*('E Balans VL '!L12+'E Balans VL '!N12)/100/3.6*1000000</f>
        <v>92.834320220131417</v>
      </c>
      <c r="G6" s="34"/>
      <c r="H6" s="33"/>
      <c r="I6" s="33"/>
      <c r="J6" s="33">
        <f>$C$26*('E Balans VL '!D12+'E Balans VL '!E12)/100/3.6*1000000</f>
        <v>0</v>
      </c>
      <c r="K6" s="33"/>
      <c r="L6" s="33"/>
      <c r="M6" s="33"/>
      <c r="N6" s="33">
        <f>$C$26*'E Balans VL '!Y12/100/3.6*1000000</f>
        <v>0.59081019230421172</v>
      </c>
      <c r="O6" s="33"/>
      <c r="P6" s="33"/>
      <c r="R6" s="32"/>
    </row>
    <row r="7" spans="1:18">
      <c r="A7" s="32" t="s">
        <v>53</v>
      </c>
      <c r="B7" s="37">
        <f t="shared" ref="B7:B12" si="0">B27</f>
        <v>451.53699999999998</v>
      </c>
      <c r="C7" s="33"/>
      <c r="D7" s="37">
        <f>IF(ISERROR(TER_horeca_gas_kWh/1000),0,TER_horeca_gas_kWh/1000)*0.902</f>
        <v>79.633070000000004</v>
      </c>
      <c r="E7" s="33">
        <f>$C$27*'E Balans VL '!I9/100/3.6*1000000</f>
        <v>6.4659346282935726</v>
      </c>
      <c r="F7" s="33">
        <f>$C$27*('E Balans VL '!L9+'E Balans VL '!N9)/100/3.6*1000000</f>
        <v>57.179476463997332</v>
      </c>
      <c r="G7" s="34"/>
      <c r="H7" s="33"/>
      <c r="I7" s="33"/>
      <c r="J7" s="33">
        <f>$C$27*('E Balans VL '!D9+'E Balans VL '!E9)/100/3.6*1000000</f>
        <v>0</v>
      </c>
      <c r="K7" s="33"/>
      <c r="L7" s="33"/>
      <c r="M7" s="33"/>
      <c r="N7" s="33">
        <f>$C$27*'E Balans VL '!Y9/100/3.6*1000000</f>
        <v>0.12980693196372989</v>
      </c>
      <c r="O7" s="33"/>
      <c r="P7" s="33"/>
      <c r="R7" s="32"/>
    </row>
    <row r="8" spans="1:18">
      <c r="A8" s="6" t="s">
        <v>52</v>
      </c>
      <c r="B8" s="37">
        <f t="shared" si="0"/>
        <v>439.53800000000001</v>
      </c>
      <c r="C8" s="33"/>
      <c r="D8" s="37">
        <f>IF(ISERROR(TER_handel_gas_kWh/1000),0,TER_handel_gas_kWh/1000)*0.902</f>
        <v>141.386696</v>
      </c>
      <c r="E8" s="33">
        <f>$C$28*'E Balans VL '!I13/100/3.6*1000000</f>
        <v>15.941989058602145</v>
      </c>
      <c r="F8" s="33">
        <f>$C$28*('E Balans VL '!L13+'E Balans VL '!N13)/100/3.6*1000000</f>
        <v>84.659469405210643</v>
      </c>
      <c r="G8" s="34"/>
      <c r="H8" s="33"/>
      <c r="I8" s="33"/>
      <c r="J8" s="33">
        <f>$C$28*('E Balans VL '!D13+'E Balans VL '!E13)/100/3.6*1000000</f>
        <v>0</v>
      </c>
      <c r="K8" s="33"/>
      <c r="L8" s="33"/>
      <c r="M8" s="33"/>
      <c r="N8" s="33">
        <f>$C$28*'E Balans VL '!Y13/100/3.6*1000000</f>
        <v>0.60886126318339506</v>
      </c>
      <c r="O8" s="33"/>
      <c r="P8" s="33"/>
      <c r="R8" s="32"/>
    </row>
    <row r="9" spans="1:18">
      <c r="A9" s="32" t="s">
        <v>51</v>
      </c>
      <c r="B9" s="37">
        <f t="shared" si="0"/>
        <v>728.74099999999999</v>
      </c>
      <c r="C9" s="33"/>
      <c r="D9" s="37">
        <f>IF(ISERROR(TER_gezond_gas_kWh/1000),0,TER_gezond_gas_kWh/1000)*0.902</f>
        <v>0</v>
      </c>
      <c r="E9" s="33">
        <f>$C$29*'E Balans VL '!I10/100/3.6*1000000</f>
        <v>4.5626381617519925E-2</v>
      </c>
      <c r="F9" s="33">
        <f>$C$29*('E Balans VL '!L10+'E Balans VL '!N10)/100/3.6*1000000</f>
        <v>108.25669435503717</v>
      </c>
      <c r="G9" s="34"/>
      <c r="H9" s="33"/>
      <c r="I9" s="33"/>
      <c r="J9" s="33">
        <f>$C$29*('E Balans VL '!D10+'E Balans VL '!E10)/100/3.6*1000000</f>
        <v>0</v>
      </c>
      <c r="K9" s="33"/>
      <c r="L9" s="33"/>
      <c r="M9" s="33"/>
      <c r="N9" s="33">
        <f>$C$29*'E Balans VL '!Y10/100/3.6*1000000</f>
        <v>11.272236105495749</v>
      </c>
      <c r="O9" s="33"/>
      <c r="P9" s="33"/>
      <c r="R9" s="32"/>
    </row>
    <row r="10" spans="1:18">
      <c r="A10" s="32" t="s">
        <v>50</v>
      </c>
      <c r="B10" s="37">
        <f t="shared" si="0"/>
        <v>123.71299999999999</v>
      </c>
      <c r="C10" s="33"/>
      <c r="D10" s="37">
        <f>IF(ISERROR(TER_ander_gas_kWh/1000),0,TER_ander_gas_kWh/1000)*0.902</f>
        <v>109.3481972</v>
      </c>
      <c r="E10" s="33">
        <f>$C$30*'E Balans VL '!I14/100/3.6*1000000</f>
        <v>0.14746147524435646</v>
      </c>
      <c r="F10" s="33">
        <f>$C$30*('E Balans VL '!L14+'E Balans VL '!N14)/100/3.6*1000000</f>
        <v>32.368820648004657</v>
      </c>
      <c r="G10" s="34"/>
      <c r="H10" s="33"/>
      <c r="I10" s="33"/>
      <c r="J10" s="33">
        <f>$C$30*('E Balans VL '!D14+'E Balans VL '!E14)/100/3.6*1000000</f>
        <v>2.6853242884301866E-3</v>
      </c>
      <c r="K10" s="33"/>
      <c r="L10" s="33"/>
      <c r="M10" s="33"/>
      <c r="N10" s="33">
        <f>$C$30*'E Balans VL '!Y14/100/3.6*1000000</f>
        <v>105.05405238550108</v>
      </c>
      <c r="O10" s="33"/>
      <c r="P10" s="33"/>
      <c r="R10" s="32"/>
    </row>
    <row r="11" spans="1:18">
      <c r="A11" s="32" t="s">
        <v>55</v>
      </c>
      <c r="B11" s="37">
        <f t="shared" si="0"/>
        <v>26.18</v>
      </c>
      <c r="C11" s="33"/>
      <c r="D11" s="37">
        <f>IF(ISERROR(TER_onderwijs_gas_kWh/1000),0,TER_onderwijs_gas_kWh/1000)*0.902</f>
        <v>0</v>
      </c>
      <c r="E11" s="33">
        <f>$C$31*'E Balans VL '!I11/100/3.6*1000000</f>
        <v>0.39501403310036243</v>
      </c>
      <c r="F11" s="33">
        <f>$C$31*('E Balans VL '!L11+'E Balans VL '!N11)/100/3.6*1000000</f>
        <v>4.5871542379424399</v>
      </c>
      <c r="G11" s="34"/>
      <c r="H11" s="33"/>
      <c r="I11" s="33"/>
      <c r="J11" s="33">
        <f>$C$31*('E Balans VL '!D11+'E Balans VL '!E11)/100/3.6*1000000</f>
        <v>0</v>
      </c>
      <c r="K11" s="33"/>
      <c r="L11" s="33"/>
      <c r="M11" s="33"/>
      <c r="N11" s="33">
        <f>$C$31*'E Balans VL '!Y11/100/3.6*1000000</f>
        <v>7.3672510279393574E-2</v>
      </c>
      <c r="O11" s="33"/>
      <c r="P11" s="33"/>
      <c r="R11" s="32"/>
    </row>
    <row r="12" spans="1:18">
      <c r="A12" s="32" t="s">
        <v>260</v>
      </c>
      <c r="B12" s="37">
        <f t="shared" si="0"/>
        <v>19.401955066987</v>
      </c>
      <c r="C12" s="33"/>
      <c r="D12" s="37">
        <f>IF(ISERROR(TER_rest_gas_kWh/1000),0,TER_rest_gas_kWh/1000)*0.902</f>
        <v>74.70093399999999</v>
      </c>
      <c r="E12" s="33">
        <f>$C$32*'E Balans VL '!I8/100/3.6*1000000</f>
        <v>0.24093313583359754</v>
      </c>
      <c r="F12" s="33">
        <f>$C$32*('E Balans VL '!L8+'E Balans VL '!N8)/100/3.6*1000000</f>
        <v>3.3550772065864578</v>
      </c>
      <c r="G12" s="34"/>
      <c r="H12" s="33"/>
      <c r="I12" s="33"/>
      <c r="J12" s="33">
        <f>$C$32*('E Balans VL '!D8+'E Balans VL '!E8)/100/3.6*1000000</f>
        <v>4.698232383249989E-5</v>
      </c>
      <c r="K12" s="33"/>
      <c r="L12" s="33"/>
      <c r="M12" s="33"/>
      <c r="N12" s="33">
        <f>$C$32*'E Balans VL '!Y8/100/3.6*1000000</f>
        <v>1.8787040096986807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2406.8859550669868</v>
      </c>
      <c r="C16" s="21">
        <f t="shared" ca="1" si="1"/>
        <v>0</v>
      </c>
      <c r="D16" s="21">
        <f t="shared" ca="1" si="1"/>
        <v>561.73962240000003</v>
      </c>
      <c r="E16" s="21">
        <f t="shared" si="1"/>
        <v>23.240830720922808</v>
      </c>
      <c r="F16" s="21">
        <f t="shared" ca="1" si="1"/>
        <v>383.24101253691015</v>
      </c>
      <c r="G16" s="21">
        <f t="shared" si="1"/>
        <v>0</v>
      </c>
      <c r="H16" s="21">
        <f t="shared" si="1"/>
        <v>0</v>
      </c>
      <c r="I16" s="21">
        <f t="shared" si="1"/>
        <v>0</v>
      </c>
      <c r="J16" s="21">
        <f t="shared" si="1"/>
        <v>2.7323066122626866E-3</v>
      </c>
      <c r="K16" s="21">
        <f t="shared" si="1"/>
        <v>0</v>
      </c>
      <c r="L16" s="21">
        <f t="shared" ca="1" si="1"/>
        <v>0</v>
      </c>
      <c r="M16" s="21">
        <f t="shared" si="1"/>
        <v>0</v>
      </c>
      <c r="N16" s="21">
        <f t="shared" ca="1" si="1"/>
        <v>119.60814339842624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0.19724031961090804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474.73495504441814</v>
      </c>
      <c r="C20" s="23">
        <f t="shared" ref="C20:P20" ca="1" si="2">C16*C18</f>
        <v>0</v>
      </c>
      <c r="D20" s="23">
        <f t="shared" ca="1" si="2"/>
        <v>113.47140372480001</v>
      </c>
      <c r="E20" s="23">
        <f t="shared" si="2"/>
        <v>5.2756685736494777</v>
      </c>
      <c r="F20" s="23">
        <f t="shared" ca="1" si="2"/>
        <v>102.32535034735501</v>
      </c>
      <c r="G20" s="23">
        <f t="shared" si="2"/>
        <v>0</v>
      </c>
      <c r="H20" s="23">
        <f t="shared" si="2"/>
        <v>0</v>
      </c>
      <c r="I20" s="23">
        <f t="shared" si="2"/>
        <v>0</v>
      </c>
      <c r="J20" s="23">
        <f t="shared" si="2"/>
        <v>9.6723654074099105E-4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617.77499999999998</v>
      </c>
      <c r="C26" s="39">
        <f>IF(ISERROR(B26*3.6/1000000/'E Balans VL '!Z12*100),0,B26*3.6/1000000/'E Balans VL '!Z12*100)</f>
        <v>1.3058784865350719E-2</v>
      </c>
      <c r="D26" s="237" t="s">
        <v>754</v>
      </c>
      <c r="F26" s="6"/>
    </row>
    <row r="27" spans="1:18">
      <c r="A27" s="231" t="s">
        <v>53</v>
      </c>
      <c r="B27" s="33">
        <f>IF(ISERROR(TER_horeca_ele_kWh/1000),0,TER_horeca_ele_kWh/1000)</f>
        <v>451.53699999999998</v>
      </c>
      <c r="C27" s="39">
        <f>IF(ISERROR(B27*3.6/1000000/'E Balans VL '!Z9*100),0,B27*3.6/1000000/'E Balans VL '!Z9*100)</f>
        <v>3.5594493413568254E-2</v>
      </c>
      <c r="D27" s="237" t="s">
        <v>754</v>
      </c>
      <c r="F27" s="6"/>
    </row>
    <row r="28" spans="1:18">
      <c r="A28" s="171" t="s">
        <v>52</v>
      </c>
      <c r="B28" s="33">
        <f>IF(ISERROR(TER_handel_ele_kWh/1000),0,TER_handel_ele_kWh/1000)</f>
        <v>439.53800000000001</v>
      </c>
      <c r="C28" s="39">
        <f>IF(ISERROR(B28*3.6/1000000/'E Balans VL '!Z13*100),0,B28*3.6/1000000/'E Balans VL '!Z13*100)</f>
        <v>1.2757168692524079E-2</v>
      </c>
      <c r="D28" s="237" t="s">
        <v>754</v>
      </c>
      <c r="F28" s="6"/>
    </row>
    <row r="29" spans="1:18">
      <c r="A29" s="231" t="s">
        <v>51</v>
      </c>
      <c r="B29" s="33">
        <f>IF(ISERROR(TER_gezond_ele_kWh/1000),0,TER_gezond_ele_kWh/1000)</f>
        <v>728.74099999999999</v>
      </c>
      <c r="C29" s="39">
        <f>IF(ISERROR(B29*3.6/1000000/'E Balans VL '!Z10*100),0,B29*3.6/1000000/'E Balans VL '!Z10*100)</f>
        <v>7.6748393543082563E-2</v>
      </c>
      <c r="D29" s="237" t="s">
        <v>754</v>
      </c>
      <c r="F29" s="6"/>
    </row>
    <row r="30" spans="1:18">
      <c r="A30" s="231" t="s">
        <v>50</v>
      </c>
      <c r="B30" s="33">
        <f>IF(ISERROR(TER_ander_ele_kWh/1000),0,TER_ander_ele_kWh/1000)</f>
        <v>123.71299999999999</v>
      </c>
      <c r="C30" s="39">
        <f>IF(ISERROR(B30*3.6/1000000/'E Balans VL '!Z14*100),0,B30*3.6/1000000/'E Balans VL '!Z14*100)</f>
        <v>9.1250977503299375E-3</v>
      </c>
      <c r="D30" s="237" t="s">
        <v>754</v>
      </c>
      <c r="F30" s="6"/>
    </row>
    <row r="31" spans="1:18">
      <c r="A31" s="231" t="s">
        <v>55</v>
      </c>
      <c r="B31" s="33">
        <f>IF(ISERROR(TER_onderwijs_ele_kWh/1000),0,TER_onderwijs_ele_kWh/1000)</f>
        <v>26.18</v>
      </c>
      <c r="C31" s="39">
        <f>IF(ISERROR(B31*3.6/1000000/'E Balans VL '!Z11*100),0,B31*3.6/1000000/'E Balans VL '!Z11*100)</f>
        <v>6.5017203434218906E-3</v>
      </c>
      <c r="D31" s="237" t="s">
        <v>754</v>
      </c>
    </row>
    <row r="32" spans="1:18">
      <c r="A32" s="231" t="s">
        <v>260</v>
      </c>
      <c r="B32" s="33">
        <f>IF(ISERROR(TER_rest_ele_kWh/1000),0,TER_rest_ele_kWh/1000)</f>
        <v>19.401955066987</v>
      </c>
      <c r="C32" s="39">
        <f>IF(ISERROR(B32*3.6/1000000/'E Balans VL '!Z8*100),0,B32*3.6/1000000/'E Balans VL '!Z8*100)</f>
        <v>1.5965233672386053E-4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746.15545599999996</v>
      </c>
      <c r="C5" s="17">
        <f>IF(ISERROR('Eigen informatie GS &amp; warmtenet'!B59),0,'Eigen informatie GS &amp; warmtenet'!B59)</f>
        <v>0</v>
      </c>
      <c r="D5" s="30">
        <f>SUM(D6:D15)</f>
        <v>158.22072200000002</v>
      </c>
      <c r="E5" s="17">
        <f>SUM(E6:E15)</f>
        <v>150.02535827849172</v>
      </c>
      <c r="F5" s="17">
        <f>SUM(F6:F15)</f>
        <v>426.58395463262963</v>
      </c>
      <c r="G5" s="18"/>
      <c r="H5" s="17"/>
      <c r="I5" s="17"/>
      <c r="J5" s="17">
        <f>SUM(J6:J15)</f>
        <v>0.10720611055801096</v>
      </c>
      <c r="K5" s="17"/>
      <c r="L5" s="17"/>
      <c r="M5" s="17"/>
      <c r="N5" s="17">
        <f>SUM(N6:N15)</f>
        <v>185.18569488958633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53.021000000000001</v>
      </c>
      <c r="C8" s="33"/>
      <c r="D8" s="37">
        <f>IF( ISERROR(IND_metaal_Gas_kWH/1000),0,IND_metaal_Gas_kWH/1000)*0.902</f>
        <v>0</v>
      </c>
      <c r="E8" s="33">
        <f>C30*'E Balans VL '!I18/100/3.6*1000000</f>
        <v>0.48747688683120888</v>
      </c>
      <c r="F8" s="33">
        <f>C30*'E Balans VL '!L18/100/3.6*1000000+C30*'E Balans VL '!N18/100/3.6*1000000</f>
        <v>4.9716045522235275</v>
      </c>
      <c r="G8" s="34"/>
      <c r="H8" s="33"/>
      <c r="I8" s="33"/>
      <c r="J8" s="40">
        <f>C30*'E Balans VL '!D18/100/3.6*1000000+C30*'E Balans VL '!E18/100/3.6*1000000</f>
        <v>0</v>
      </c>
      <c r="K8" s="33"/>
      <c r="L8" s="33"/>
      <c r="M8" s="33"/>
      <c r="N8" s="33">
        <f>C30*'E Balans VL '!Y18/100/3.6*1000000</f>
        <v>0.75643218589230776</v>
      </c>
      <c r="O8" s="33"/>
      <c r="P8" s="33"/>
      <c r="R8" s="32"/>
    </row>
    <row r="9" spans="1:18">
      <c r="A9" s="6" t="s">
        <v>33</v>
      </c>
      <c r="B9" s="37">
        <f t="shared" si="0"/>
        <v>504.753289</v>
      </c>
      <c r="C9" s="33"/>
      <c r="D9" s="37">
        <f>IF( ISERROR(IND_andere_gas_kWh/1000),0,IND_andere_gas_kWh/1000)*0.902</f>
        <v>79.591578000000013</v>
      </c>
      <c r="E9" s="33">
        <f>C31*'E Balans VL '!I19/100/3.6*1000000</f>
        <v>147.54921276222112</v>
      </c>
      <c r="F9" s="33">
        <f>C31*'E Balans VL '!L19/100/3.6*1000000+C31*'E Balans VL '!N19/100/3.6*1000000</f>
        <v>405.60747402485504</v>
      </c>
      <c r="G9" s="34"/>
      <c r="H9" s="33"/>
      <c r="I9" s="33"/>
      <c r="J9" s="40">
        <f>C31*'E Balans VL '!D19/100/3.6*1000000+C31*'E Balans VL '!E19/100/3.6*1000000</f>
        <v>0</v>
      </c>
      <c r="K9" s="33"/>
      <c r="L9" s="33"/>
      <c r="M9" s="33"/>
      <c r="N9" s="33">
        <f>C31*'E Balans VL '!Y19/100/3.6*1000000</f>
        <v>166.77831485409482</v>
      </c>
      <c r="O9" s="33"/>
      <c r="P9" s="33"/>
      <c r="R9" s="32"/>
    </row>
    <row r="10" spans="1:18">
      <c r="A10" s="6" t="s">
        <v>41</v>
      </c>
      <c r="B10" s="37">
        <f t="shared" si="0"/>
        <v>158.43516699999998</v>
      </c>
      <c r="C10" s="33"/>
      <c r="D10" s="37">
        <f>IF( ISERROR(IND_voed_gas_kWh/1000),0,IND_voed_gas_kWh/1000)*0.902</f>
        <v>0</v>
      </c>
      <c r="E10" s="33">
        <f>C32*'E Balans VL '!I20/100/3.6*1000000</f>
        <v>0.3351720523548597</v>
      </c>
      <c r="F10" s="33">
        <f>C32*'E Balans VL '!L20/100/3.6*1000000+C32*'E Balans VL '!N20/100/3.6*1000000</f>
        <v>10.073469754637303</v>
      </c>
      <c r="G10" s="34"/>
      <c r="H10" s="33"/>
      <c r="I10" s="33"/>
      <c r="J10" s="40">
        <f>C32*'E Balans VL '!D20/100/3.6*1000000+C32*'E Balans VL '!E20/100/3.6*1000000</f>
        <v>0</v>
      </c>
      <c r="K10" s="33"/>
      <c r="L10" s="33"/>
      <c r="M10" s="33"/>
      <c r="N10" s="33">
        <f>C32*'E Balans VL '!Y20/100/3.6*1000000</f>
        <v>10.933589999430851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29.946000000000002</v>
      </c>
      <c r="C15" s="33"/>
      <c r="D15" s="37">
        <f>IF( ISERROR(IND_rest_gas_kWh/1000),0,IND_rest_gas_kWh/1000)*0.902</f>
        <v>78.629143999999997</v>
      </c>
      <c r="E15" s="33">
        <f>C37*'E Balans VL '!I15/100/3.6*1000000</f>
        <v>1.6534965770845171</v>
      </c>
      <c r="F15" s="33">
        <f>C37*'E Balans VL '!L15/100/3.6*1000000+C37*'E Balans VL '!N15/100/3.6*1000000</f>
        <v>5.9314063009137366</v>
      </c>
      <c r="G15" s="34"/>
      <c r="H15" s="33"/>
      <c r="I15" s="33"/>
      <c r="J15" s="40">
        <f>C37*'E Balans VL '!D15/100/3.6*1000000+C37*'E Balans VL '!E15/100/3.6*1000000</f>
        <v>0.10720611055801096</v>
      </c>
      <c r="K15" s="33"/>
      <c r="L15" s="33"/>
      <c r="M15" s="33"/>
      <c r="N15" s="33">
        <f>C37*'E Balans VL '!Y15/100/3.6*1000000</f>
        <v>6.7173578501683426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746.15545599999996</v>
      </c>
      <c r="C18" s="21">
        <f>C5+C16</f>
        <v>0</v>
      </c>
      <c r="D18" s="21">
        <f>MAX((D5+D16),0)</f>
        <v>158.22072200000002</v>
      </c>
      <c r="E18" s="21">
        <f>MAX((E5+E16),0)</f>
        <v>150.02535827849172</v>
      </c>
      <c r="F18" s="21">
        <f>MAX((F5+F16),0)</f>
        <v>426.58395463262963</v>
      </c>
      <c r="G18" s="21"/>
      <c r="H18" s="21"/>
      <c r="I18" s="21"/>
      <c r="J18" s="21">
        <f>MAX((J5+J16),0)</f>
        <v>0.10720611055801096</v>
      </c>
      <c r="K18" s="21"/>
      <c r="L18" s="21">
        <f>MAX((L5+L16),0)</f>
        <v>0</v>
      </c>
      <c r="M18" s="21"/>
      <c r="N18" s="21">
        <f>MAX((N5+N16),0)</f>
        <v>185.18569488958633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0.19724031961090804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147.17194062086281</v>
      </c>
      <c r="C22" s="23">
        <f ca="1">C18*C20</f>
        <v>0</v>
      </c>
      <c r="D22" s="23">
        <f>D18*D20</f>
        <v>31.960585844000008</v>
      </c>
      <c r="E22" s="23">
        <f>E18*E20</f>
        <v>34.055756329217623</v>
      </c>
      <c r="F22" s="23">
        <f>F18*F20</f>
        <v>113.89791588691212</v>
      </c>
      <c r="G22" s="23"/>
      <c r="H22" s="23"/>
      <c r="I22" s="23"/>
      <c r="J22" s="23">
        <f>J18*J20</f>
        <v>3.7950963137535883E-2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53.021000000000001</v>
      </c>
      <c r="C30" s="39">
        <f>IF(ISERROR(B30*3.6/1000000/'E Balans VL '!Z18*100),0,B30*3.6/1000000/'E Balans VL '!Z18*100)</f>
        <v>3.004836024736098E-3</v>
      </c>
      <c r="D30" s="237" t="s">
        <v>754</v>
      </c>
    </row>
    <row r="31" spans="1:18">
      <c r="A31" s="6" t="s">
        <v>33</v>
      </c>
      <c r="B31" s="37">
        <f>IF( ISERROR(IND_ander_ele_kWh/1000),0,IND_ander_ele_kWh/1000)</f>
        <v>504.753289</v>
      </c>
      <c r="C31" s="39">
        <f>IF(ISERROR(B31*3.6/1000000/'E Balans VL '!Z19*100),0,B31*3.6/1000000/'E Balans VL '!Z19*100)</f>
        <v>2.289350743292503E-2</v>
      </c>
      <c r="D31" s="237" t="s">
        <v>754</v>
      </c>
    </row>
    <row r="32" spans="1:18">
      <c r="A32" s="171" t="s">
        <v>41</v>
      </c>
      <c r="B32" s="37">
        <f>IF( ISERROR(IND_voed_ele_kWh/1000),0,IND_voed_ele_kWh/1000)</f>
        <v>158.43516699999998</v>
      </c>
      <c r="C32" s="39">
        <f>IF(ISERROR(B32*3.6/1000000/'E Balans VL '!Z20*100),0,B32*3.6/1000000/'E Balans VL '!Z20*100)</f>
        <v>4.9011189502392244E-3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29.946000000000002</v>
      </c>
      <c r="C37" s="39">
        <f>IF(ISERROR(B37*3.6/1000000/'E Balans VL '!Z15*100),0,B37*3.6/1000000/'E Balans VL '!Z15*100)</f>
        <v>2.3735882718568742E-4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1212.817</v>
      </c>
      <c r="C5" s="17">
        <f>'Eigen informatie GS &amp; warmtenet'!B60</f>
        <v>0</v>
      </c>
      <c r="D5" s="30">
        <f>IF(ISERROR(SUM(LB_lb_gas_kWh,LB_rest_gas_kWh)/1000),0,SUM(LB_lb_gas_kWh,LB_rest_gas_kWh)/1000)*0.902</f>
        <v>43.841709999999999</v>
      </c>
      <c r="E5" s="17">
        <f>B17*'E Balans VL '!I25/3.6*1000000/100</f>
        <v>35.64839600068202</v>
      </c>
      <c r="F5" s="17">
        <f>B17*('E Balans VL '!L25/3.6*1000000+'E Balans VL '!N25/3.6*1000000)/100</f>
        <v>5052.5300848092147</v>
      </c>
      <c r="G5" s="18"/>
      <c r="H5" s="17"/>
      <c r="I5" s="17"/>
      <c r="J5" s="17">
        <f>('E Balans VL '!D25+'E Balans VL '!E25)/3.6*1000000*landbouw!B17/100</f>
        <v>175.71113775678464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1212.817</v>
      </c>
      <c r="C8" s="21">
        <f>C5+C6</f>
        <v>0</v>
      </c>
      <c r="D8" s="21">
        <f>MAX((D5+D6),0)</f>
        <v>43.841709999999999</v>
      </c>
      <c r="E8" s="21">
        <f>MAX((E5+E6),0)</f>
        <v>35.64839600068202</v>
      </c>
      <c r="F8" s="21">
        <f>MAX((F5+F6),0)</f>
        <v>5052.5300848092147</v>
      </c>
      <c r="G8" s="21"/>
      <c r="H8" s="21"/>
      <c r="I8" s="21"/>
      <c r="J8" s="21">
        <f>MAX((J5+J6),0)</f>
        <v>175.71113775678464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0.19724031961090804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239.21641270954265</v>
      </c>
      <c r="C12" s="23">
        <f ca="1">C8*C10</f>
        <v>0</v>
      </c>
      <c r="D12" s="23">
        <f>D8*D10</f>
        <v>8.8560254199999999</v>
      </c>
      <c r="E12" s="23">
        <f>E8*E10</f>
        <v>8.0921858921548182</v>
      </c>
      <c r="F12" s="23">
        <f>F8*F10</f>
        <v>1349.0255326440604</v>
      </c>
      <c r="G12" s="23"/>
      <c r="H12" s="23"/>
      <c r="I12" s="23"/>
      <c r="J12" s="23">
        <f>J8*J10</f>
        <v>62.201742765901756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0.17210253739729389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294.68245618878683</v>
      </c>
      <c r="C26" s="247">
        <f>B26*'GWP N2O_CH4'!B5</f>
        <v>6188.3315799645234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67.119765367971567</v>
      </c>
      <c r="C27" s="247">
        <f>B27*'GWP N2O_CH4'!B5</f>
        <v>1409.5150727274029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3.8665628869959034</v>
      </c>
      <c r="C28" s="247">
        <f>B28*'GWP N2O_CH4'!B4</f>
        <v>1198.63449496873</v>
      </c>
      <c r="D28" s="50"/>
    </row>
    <row r="29" spans="1:4">
      <c r="A29" s="41" t="s">
        <v>277</v>
      </c>
      <c r="B29" s="247">
        <f>B34*'ha_N2O bodem landbouw'!B4</f>
        <v>17.207834695106616</v>
      </c>
      <c r="C29" s="247">
        <f>B29*'GWP N2O_CH4'!B4</f>
        <v>5334.4287554830507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3.9267685765868492E-3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8.2641677788510156E-5</v>
      </c>
      <c r="C5" s="463" t="s">
        <v>211</v>
      </c>
      <c r="D5" s="448">
        <f>SUM(D6:D11)</f>
        <v>3.2816496429507493E-4</v>
      </c>
      <c r="E5" s="448">
        <f>SUM(E6:E11)</f>
        <v>4.2979977753691373E-4</v>
      </c>
      <c r="F5" s="461" t="s">
        <v>211</v>
      </c>
      <c r="G5" s="448">
        <f>SUM(G6:G11)</f>
        <v>0.13363593267001481</v>
      </c>
      <c r="H5" s="448">
        <f>SUM(H6:H11)</f>
        <v>3.6744013613166523E-2</v>
      </c>
      <c r="I5" s="463" t="s">
        <v>211</v>
      </c>
      <c r="J5" s="463" t="s">
        <v>211</v>
      </c>
      <c r="K5" s="463" t="s">
        <v>211</v>
      </c>
      <c r="L5" s="463" t="s">
        <v>211</v>
      </c>
      <c r="M5" s="448">
        <f>SUM(M6:M11)</f>
        <v>8.891616523889834E-3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4.8236549308176592E-5</v>
      </c>
      <c r="C6" s="449"/>
      <c r="D6" s="892">
        <f>vkm_2011_GW_PW*SUMIFS(TableVerdeelsleutelVkm[CNG],TableVerdeelsleutelVkm[Voertuigtype],"Lichte voertuigen")*SUMIFS(TableECFTransport[EnergieConsumptieFactor (PJ per km)],TableECFTransport[Index],CONCATENATE($A6,"_CNG_CNG"))</f>
        <v>1.4468196266350554E-4</v>
      </c>
      <c r="E6" s="892">
        <f>vkm_2011_GW_PW*SUMIFS(TableVerdeelsleutelVkm[LPG],TableVerdeelsleutelVkm[Voertuigtype],"Lichte voertuigen")*SUMIFS(TableECFTransport[EnergieConsumptieFactor (PJ per km)],TableECFTransport[Index],CONCATENATE($A6,"_LPG_LPG"))</f>
        <v>1.9765634353807477E-4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5.1104869731330625E-2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1.6455908464789875E-2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3.471223208704102E-3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1.6731459233592479E-2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5.0994087894198389E-6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9.7773002887180729E-4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3.440512848033357E-5</v>
      </c>
      <c r="C8" s="449"/>
      <c r="D8" s="451">
        <f>vkm_2011_NGW_PW*SUMIFS(TableVerdeelsleutelVkm[CNG],TableVerdeelsleutelVkm[Voertuigtype],"Lichte voertuigen")*SUMIFS(TableECFTransport[EnergieConsumptieFactor (PJ per km)],TableECFTransport[Index],CONCATENATE($A8,"_CNG_CNG"))</f>
        <v>1.8348300163156936E-4</v>
      </c>
      <c r="E8" s="451">
        <f>vkm_2011_NGW_PW*SUMIFS(TableVerdeelsleutelVkm[LPG],TableVerdeelsleutelVkm[Voertuigtype],"Lichte voertuigen")*SUMIFS(TableECFTransport[EnergieConsumptieFactor (PJ per km)],TableECFTransport[Index],CONCATENATE($A8,"_LPG_LPG"))</f>
        <v>2.3214343399883896E-4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5.5933827376535607E-2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2.0280175014293321E-2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3.8661457979732193E-3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9.8657763285561022E-3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2.8307252939065574E-6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5.7651748834070557E-4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22.956021607919489</v>
      </c>
      <c r="C14" s="21"/>
      <c r="D14" s="21">
        <f t="shared" ref="D14:M14" si="0">((D5)*10^9/3600)+D12</f>
        <v>91.1569345264097</v>
      </c>
      <c r="E14" s="21">
        <f t="shared" si="0"/>
        <v>119.38882709358715</v>
      </c>
      <c r="F14" s="21"/>
      <c r="G14" s="21">
        <f t="shared" si="0"/>
        <v>37121.092408337448</v>
      </c>
      <c r="H14" s="21">
        <f t="shared" si="0"/>
        <v>10206.670448101813</v>
      </c>
      <c r="I14" s="21"/>
      <c r="J14" s="21"/>
      <c r="K14" s="21"/>
      <c r="L14" s="21"/>
      <c r="M14" s="21">
        <f t="shared" si="0"/>
        <v>2469.8934788582874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0.19724031961090804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4.5278530389409513</v>
      </c>
      <c r="C18" s="23"/>
      <c r="D18" s="23">
        <f t="shared" ref="D18:M18" si="1">D14*D16</f>
        <v>18.41370077433476</v>
      </c>
      <c r="E18" s="23">
        <f t="shared" si="1"/>
        <v>27.101263750244286</v>
      </c>
      <c r="F18" s="23"/>
      <c r="G18" s="23">
        <f t="shared" si="1"/>
        <v>9911.3316730260995</v>
      </c>
      <c r="H18" s="23">
        <f t="shared" si="1"/>
        <v>2541.4609415773516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3.9725012847890481E-3</v>
      </c>
      <c r="H50" s="321">
        <f t="shared" si="2"/>
        <v>0</v>
      </c>
      <c r="I50" s="321">
        <f t="shared" si="2"/>
        <v>0</v>
      </c>
      <c r="J50" s="321">
        <f t="shared" si="2"/>
        <v>0</v>
      </c>
      <c r="K50" s="321">
        <f t="shared" si="2"/>
        <v>0</v>
      </c>
      <c r="L50" s="321">
        <f t="shared" si="2"/>
        <v>0</v>
      </c>
      <c r="M50" s="321">
        <f t="shared" si="2"/>
        <v>2.2562053606565844E-4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3.9725012847890481E-3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2.2562053606565844E-4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1103.4725791080689</v>
      </c>
      <c r="H54" s="21">
        <f t="shared" si="3"/>
        <v>0</v>
      </c>
      <c r="I54" s="21">
        <f t="shared" si="3"/>
        <v>0</v>
      </c>
      <c r="J54" s="21">
        <f t="shared" si="3"/>
        <v>0</v>
      </c>
      <c r="K54" s="21">
        <f t="shared" si="3"/>
        <v>0</v>
      </c>
      <c r="L54" s="21">
        <f t="shared" si="3"/>
        <v>0</v>
      </c>
      <c r="M54" s="21">
        <f t="shared" si="3"/>
        <v>62.672371129349564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0.19724031961090804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294.6271786218544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2804.4119550669866</v>
      </c>
      <c r="D10" s="1013">
        <f ca="1">tertiair!C16</f>
        <v>0</v>
      </c>
      <c r="E10" s="1013">
        <f ca="1">tertiair!D16</f>
        <v>561.73962240000003</v>
      </c>
      <c r="F10" s="1013">
        <f>tertiair!E16</f>
        <v>23.240830720922808</v>
      </c>
      <c r="G10" s="1013">
        <f ca="1">tertiair!F16</f>
        <v>383.24101253691015</v>
      </c>
      <c r="H10" s="1013">
        <f>tertiair!G16</f>
        <v>0</v>
      </c>
      <c r="I10" s="1013">
        <f>tertiair!H16</f>
        <v>0</v>
      </c>
      <c r="J10" s="1013">
        <f>tertiair!I16</f>
        <v>0</v>
      </c>
      <c r="K10" s="1013">
        <f>tertiair!J16</f>
        <v>2.7323066122626866E-3</v>
      </c>
      <c r="L10" s="1013">
        <f>tertiair!K16</f>
        <v>0</v>
      </c>
      <c r="M10" s="1013">
        <f ca="1">tertiair!L16</f>
        <v>0</v>
      </c>
      <c r="N10" s="1013">
        <f>tertiair!M16</f>
        <v>0</v>
      </c>
      <c r="O10" s="1013">
        <f ca="1">tertiair!N16</f>
        <v>119.60814339842624</v>
      </c>
      <c r="P10" s="1013">
        <f>tertiair!O16</f>
        <v>1.5633333333333335</v>
      </c>
      <c r="Q10" s="1014">
        <f>tertiair!P16</f>
        <v>0</v>
      </c>
      <c r="R10" s="700">
        <f ca="1">SUM(C10:Q10)</f>
        <v>3893.8076297631919</v>
      </c>
      <c r="S10" s="67"/>
    </row>
    <row r="11" spans="1:19" s="473" customFormat="1">
      <c r="A11" s="809" t="s">
        <v>225</v>
      </c>
      <c r="B11" s="814"/>
      <c r="C11" s="1013">
        <f>huishoudens!B8</f>
        <v>8556.5140768399106</v>
      </c>
      <c r="D11" s="1013">
        <f>huishoudens!C8</f>
        <v>0</v>
      </c>
      <c r="E11" s="1013">
        <f>huishoudens!D8</f>
        <v>3356.8127989000004</v>
      </c>
      <c r="F11" s="1013">
        <f>huishoudens!E8</f>
        <v>1876.6663763500064</v>
      </c>
      <c r="G11" s="1013">
        <f>huishoudens!F8</f>
        <v>22160.373365118645</v>
      </c>
      <c r="H11" s="1013">
        <f>huishoudens!G8</f>
        <v>0</v>
      </c>
      <c r="I11" s="1013">
        <f>huishoudens!H8</f>
        <v>0</v>
      </c>
      <c r="J11" s="1013">
        <f>huishoudens!I8</f>
        <v>0</v>
      </c>
      <c r="K11" s="1013">
        <f>huishoudens!J8</f>
        <v>2468.222887727964</v>
      </c>
      <c r="L11" s="1013">
        <f>huishoudens!K8</f>
        <v>0</v>
      </c>
      <c r="M11" s="1013">
        <f>huishoudens!L8</f>
        <v>0</v>
      </c>
      <c r="N11" s="1013">
        <f>huishoudens!M8</f>
        <v>0</v>
      </c>
      <c r="O11" s="1013">
        <f>huishoudens!N8</f>
        <v>6144.7701863486864</v>
      </c>
      <c r="P11" s="1013">
        <f>huishoudens!O8</f>
        <v>89.11</v>
      </c>
      <c r="Q11" s="1014">
        <f>huishoudens!P8</f>
        <v>400.4</v>
      </c>
      <c r="R11" s="700">
        <f>SUM(C11:Q11)</f>
        <v>45052.869691285217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746.15545599999996</v>
      </c>
      <c r="D13" s="1013">
        <f>industrie!C18</f>
        <v>0</v>
      </c>
      <c r="E13" s="1013">
        <f>industrie!D18</f>
        <v>158.22072200000002</v>
      </c>
      <c r="F13" s="1013">
        <f>industrie!E18</f>
        <v>150.02535827849172</v>
      </c>
      <c r="G13" s="1013">
        <f>industrie!F18</f>
        <v>426.58395463262963</v>
      </c>
      <c r="H13" s="1013">
        <f>industrie!G18</f>
        <v>0</v>
      </c>
      <c r="I13" s="1013">
        <f>industrie!H18</f>
        <v>0</v>
      </c>
      <c r="J13" s="1013">
        <f>industrie!I18</f>
        <v>0</v>
      </c>
      <c r="K13" s="1013">
        <f>industrie!J18</f>
        <v>0.10720611055801096</v>
      </c>
      <c r="L13" s="1013">
        <f>industrie!K18</f>
        <v>0</v>
      </c>
      <c r="M13" s="1013">
        <f>industrie!L18</f>
        <v>0</v>
      </c>
      <c r="N13" s="1013">
        <f>industrie!M18</f>
        <v>0</v>
      </c>
      <c r="O13" s="1013">
        <f>industrie!N18</f>
        <v>185.18569488958633</v>
      </c>
      <c r="P13" s="1013">
        <f>industrie!O18</f>
        <v>0</v>
      </c>
      <c r="Q13" s="1014">
        <f>industrie!P18</f>
        <v>0</v>
      </c>
      <c r="R13" s="700">
        <f>SUM(C13:Q13)</f>
        <v>1666.2783919112658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12107.081487906897</v>
      </c>
      <c r="D16" s="732">
        <f t="shared" ref="D16:R16" ca="1" si="0">SUM(D9:D15)</f>
        <v>0</v>
      </c>
      <c r="E16" s="732">
        <f t="shared" ca="1" si="0"/>
        <v>4076.7731433000004</v>
      </c>
      <c r="F16" s="732">
        <f t="shared" si="0"/>
        <v>2049.9325653494211</v>
      </c>
      <c r="G16" s="732">
        <f t="shared" ca="1" si="0"/>
        <v>22970.198332288182</v>
      </c>
      <c r="H16" s="732">
        <f t="shared" si="0"/>
        <v>0</v>
      </c>
      <c r="I16" s="732">
        <f t="shared" si="0"/>
        <v>0</v>
      </c>
      <c r="J16" s="732">
        <f t="shared" si="0"/>
        <v>0</v>
      </c>
      <c r="K16" s="732">
        <f t="shared" si="0"/>
        <v>2468.3328261451343</v>
      </c>
      <c r="L16" s="732">
        <f t="shared" si="0"/>
        <v>0</v>
      </c>
      <c r="M16" s="732">
        <f t="shared" ca="1" si="0"/>
        <v>0</v>
      </c>
      <c r="N16" s="732">
        <f t="shared" si="0"/>
        <v>0</v>
      </c>
      <c r="O16" s="732">
        <f t="shared" ca="1" si="0"/>
        <v>6449.5640246366993</v>
      </c>
      <c r="P16" s="732">
        <f t="shared" si="0"/>
        <v>90.673333333333332</v>
      </c>
      <c r="Q16" s="732">
        <f t="shared" si="0"/>
        <v>400.4</v>
      </c>
      <c r="R16" s="732">
        <f t="shared" ca="1" si="0"/>
        <v>50612.955712959672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1103.4725791080689</v>
      </c>
      <c r="I19" s="1013">
        <f>transport!H54</f>
        <v>0</v>
      </c>
      <c r="J19" s="1013">
        <f>transport!I54</f>
        <v>0</v>
      </c>
      <c r="K19" s="1013">
        <f>transport!J54</f>
        <v>0</v>
      </c>
      <c r="L19" s="1013">
        <f>transport!K54</f>
        <v>0</v>
      </c>
      <c r="M19" s="1013">
        <f>transport!L54</f>
        <v>0</v>
      </c>
      <c r="N19" s="1013">
        <f>transport!M54</f>
        <v>62.672371129349564</v>
      </c>
      <c r="O19" s="1013">
        <f>transport!N54</f>
        <v>0</v>
      </c>
      <c r="P19" s="1013">
        <f>transport!O54</f>
        <v>0</v>
      </c>
      <c r="Q19" s="1014">
        <f>transport!P54</f>
        <v>0</v>
      </c>
      <c r="R19" s="700">
        <f>SUM(C19:Q19)</f>
        <v>1166.1449502374185</v>
      </c>
      <c r="S19" s="67"/>
    </row>
    <row r="20" spans="1:19" s="473" customFormat="1">
      <c r="A20" s="809" t="s">
        <v>307</v>
      </c>
      <c r="B20" s="814"/>
      <c r="C20" s="1013">
        <f>transport!B14</f>
        <v>22.956021607919489</v>
      </c>
      <c r="D20" s="1013">
        <f>transport!C14</f>
        <v>0</v>
      </c>
      <c r="E20" s="1013">
        <f>transport!D14</f>
        <v>91.1569345264097</v>
      </c>
      <c r="F20" s="1013">
        <f>transport!E14</f>
        <v>119.38882709358715</v>
      </c>
      <c r="G20" s="1013">
        <f>transport!F14</f>
        <v>0</v>
      </c>
      <c r="H20" s="1013">
        <f>transport!G14</f>
        <v>37121.092408337448</v>
      </c>
      <c r="I20" s="1013">
        <f>transport!H14</f>
        <v>10206.670448101813</v>
      </c>
      <c r="J20" s="1013">
        <f>transport!I14</f>
        <v>0</v>
      </c>
      <c r="K20" s="1013">
        <f>transport!J14</f>
        <v>0</v>
      </c>
      <c r="L20" s="1013">
        <f>transport!K14</f>
        <v>0</v>
      </c>
      <c r="M20" s="1013">
        <f>transport!L14</f>
        <v>0</v>
      </c>
      <c r="N20" s="1013">
        <f>transport!M14</f>
        <v>2469.8934788582874</v>
      </c>
      <c r="O20" s="1013">
        <f>transport!N14</f>
        <v>0</v>
      </c>
      <c r="P20" s="1013">
        <f>transport!O14</f>
        <v>0</v>
      </c>
      <c r="Q20" s="1014">
        <f>transport!P14</f>
        <v>0</v>
      </c>
      <c r="R20" s="700">
        <f>SUM(C20:Q20)</f>
        <v>50031.158118525462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22.956021607919489</v>
      </c>
      <c r="D22" s="812">
        <f t="shared" ref="D22:R22" si="1">SUM(D18:D21)</f>
        <v>0</v>
      </c>
      <c r="E22" s="812">
        <f t="shared" si="1"/>
        <v>91.1569345264097</v>
      </c>
      <c r="F22" s="812">
        <f t="shared" si="1"/>
        <v>119.38882709358715</v>
      </c>
      <c r="G22" s="812">
        <f t="shared" si="1"/>
        <v>0</v>
      </c>
      <c r="H22" s="812">
        <f t="shared" si="1"/>
        <v>38224.564987445519</v>
      </c>
      <c r="I22" s="812">
        <f t="shared" si="1"/>
        <v>10206.670448101813</v>
      </c>
      <c r="J22" s="812">
        <f t="shared" si="1"/>
        <v>0</v>
      </c>
      <c r="K22" s="812">
        <f t="shared" si="1"/>
        <v>0</v>
      </c>
      <c r="L22" s="812">
        <f t="shared" si="1"/>
        <v>0</v>
      </c>
      <c r="M22" s="812">
        <f t="shared" si="1"/>
        <v>0</v>
      </c>
      <c r="N22" s="812">
        <f t="shared" si="1"/>
        <v>2532.5658499876367</v>
      </c>
      <c r="O22" s="812">
        <f t="shared" si="1"/>
        <v>0</v>
      </c>
      <c r="P22" s="812">
        <f t="shared" si="1"/>
        <v>0</v>
      </c>
      <c r="Q22" s="812">
        <f t="shared" si="1"/>
        <v>0</v>
      </c>
      <c r="R22" s="812">
        <f t="shared" si="1"/>
        <v>51197.303068762878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1212.817</v>
      </c>
      <c r="D24" s="1013">
        <f>+landbouw!C8</f>
        <v>0</v>
      </c>
      <c r="E24" s="1013">
        <f>+landbouw!D8</f>
        <v>43.841709999999999</v>
      </c>
      <c r="F24" s="1013">
        <f>+landbouw!E8</f>
        <v>35.64839600068202</v>
      </c>
      <c r="G24" s="1013">
        <f>+landbouw!F8</f>
        <v>5052.5300848092147</v>
      </c>
      <c r="H24" s="1013">
        <f>+landbouw!G8</f>
        <v>0</v>
      </c>
      <c r="I24" s="1013">
        <f>+landbouw!H8</f>
        <v>0</v>
      </c>
      <c r="J24" s="1013">
        <f>+landbouw!I8</f>
        <v>0</v>
      </c>
      <c r="K24" s="1013">
        <f>+landbouw!J8</f>
        <v>175.71113775678464</v>
      </c>
      <c r="L24" s="1013">
        <f>+landbouw!K8</f>
        <v>0</v>
      </c>
      <c r="M24" s="1013">
        <f>+landbouw!L8</f>
        <v>0</v>
      </c>
      <c r="N24" s="1013">
        <f>+landbouw!M8</f>
        <v>0</v>
      </c>
      <c r="O24" s="1013">
        <f>+landbouw!N8</f>
        <v>0</v>
      </c>
      <c r="P24" s="1013">
        <f>+landbouw!O8</f>
        <v>0</v>
      </c>
      <c r="Q24" s="1014">
        <f>+landbouw!P8</f>
        <v>0</v>
      </c>
      <c r="R24" s="700">
        <f>SUM(C24:Q24)</f>
        <v>6520.5483285666805</v>
      </c>
      <c r="S24" s="67"/>
    </row>
    <row r="25" spans="1:19" s="473" customFormat="1" ht="15" thickBot="1">
      <c r="A25" s="831" t="s">
        <v>836</v>
      </c>
      <c r="B25" s="1016"/>
      <c r="C25" s="1017">
        <f>IF(Onbekend_ele_kWh="---",0,Onbekend_ele_kWh)/1000+IF(REST_rest_ele_kWh="---",0,REST_rest_ele_kWh)/1000</f>
        <v>155.80375000000001</v>
      </c>
      <c r="D25" s="1017"/>
      <c r="E25" s="1017">
        <f>IF(onbekend_gas_kWh="---",0,onbekend_gas_kWh)/1000+IF(REST_rest_gas_kWh="---",0,REST_rest_gas_kWh)/1000</f>
        <v>255.589</v>
      </c>
      <c r="F25" s="1017"/>
      <c r="G25" s="1017"/>
      <c r="H25" s="1017"/>
      <c r="I25" s="1017"/>
      <c r="J25" s="1017"/>
      <c r="K25" s="1017"/>
      <c r="L25" s="1017"/>
      <c r="M25" s="1017"/>
      <c r="N25" s="1017"/>
      <c r="O25" s="1017"/>
      <c r="P25" s="1017"/>
      <c r="Q25" s="1018"/>
      <c r="R25" s="700">
        <f>SUM(C25:Q25)</f>
        <v>411.39274999999998</v>
      </c>
      <c r="S25" s="67"/>
    </row>
    <row r="26" spans="1:19" s="473" customFormat="1" ht="15.75" thickBot="1">
      <c r="A26" s="705" t="s">
        <v>837</v>
      </c>
      <c r="B26" s="817"/>
      <c r="C26" s="812">
        <f>SUM(C24:C25)</f>
        <v>1368.62075</v>
      </c>
      <c r="D26" s="812">
        <f t="shared" ref="D26:R26" si="2">SUM(D24:D25)</f>
        <v>0</v>
      </c>
      <c r="E26" s="812">
        <f t="shared" si="2"/>
        <v>299.43070999999998</v>
      </c>
      <c r="F26" s="812">
        <f t="shared" si="2"/>
        <v>35.64839600068202</v>
      </c>
      <c r="G26" s="812">
        <f t="shared" si="2"/>
        <v>5052.5300848092147</v>
      </c>
      <c r="H26" s="812">
        <f t="shared" si="2"/>
        <v>0</v>
      </c>
      <c r="I26" s="812">
        <f t="shared" si="2"/>
        <v>0</v>
      </c>
      <c r="J26" s="812">
        <f t="shared" si="2"/>
        <v>0</v>
      </c>
      <c r="K26" s="812">
        <f t="shared" si="2"/>
        <v>175.71113775678464</v>
      </c>
      <c r="L26" s="812">
        <f t="shared" si="2"/>
        <v>0</v>
      </c>
      <c r="M26" s="812">
        <f t="shared" si="2"/>
        <v>0</v>
      </c>
      <c r="N26" s="812">
        <f t="shared" si="2"/>
        <v>0</v>
      </c>
      <c r="O26" s="812">
        <f t="shared" si="2"/>
        <v>0</v>
      </c>
      <c r="P26" s="812">
        <f t="shared" si="2"/>
        <v>0</v>
      </c>
      <c r="Q26" s="812">
        <f t="shared" si="2"/>
        <v>0</v>
      </c>
      <c r="R26" s="812">
        <f t="shared" si="2"/>
        <v>6931.9410785666805</v>
      </c>
      <c r="S26" s="67"/>
    </row>
    <row r="27" spans="1:19" s="473" customFormat="1" ht="17.25" thickTop="1" thickBot="1">
      <c r="A27" s="706" t="s">
        <v>116</v>
      </c>
      <c r="B27" s="805"/>
      <c r="C27" s="707">
        <f ca="1">C22+C16+C26</f>
        <v>13498.658259514816</v>
      </c>
      <c r="D27" s="707">
        <f t="shared" ref="D27:R27" ca="1" si="3">D22+D16+D26</f>
        <v>0</v>
      </c>
      <c r="E27" s="707">
        <f t="shared" ca="1" si="3"/>
        <v>4467.3607878264093</v>
      </c>
      <c r="F27" s="707">
        <f t="shared" si="3"/>
        <v>2204.9697884436905</v>
      </c>
      <c r="G27" s="707">
        <f t="shared" ca="1" si="3"/>
        <v>28022.728417097398</v>
      </c>
      <c r="H27" s="707">
        <f t="shared" si="3"/>
        <v>38224.564987445519</v>
      </c>
      <c r="I27" s="707">
        <f t="shared" si="3"/>
        <v>10206.670448101813</v>
      </c>
      <c r="J27" s="707">
        <f t="shared" si="3"/>
        <v>0</v>
      </c>
      <c r="K27" s="707">
        <f t="shared" si="3"/>
        <v>2644.0439639019187</v>
      </c>
      <c r="L27" s="707">
        <f t="shared" si="3"/>
        <v>0</v>
      </c>
      <c r="M27" s="707">
        <f t="shared" ca="1" si="3"/>
        <v>0</v>
      </c>
      <c r="N27" s="707">
        <f t="shared" si="3"/>
        <v>2532.5658499876367</v>
      </c>
      <c r="O27" s="707">
        <f t="shared" ca="1" si="3"/>
        <v>6449.5640246366993</v>
      </c>
      <c r="P27" s="707">
        <f t="shared" si="3"/>
        <v>90.673333333333332</v>
      </c>
      <c r="Q27" s="707">
        <f t="shared" si="3"/>
        <v>400.4</v>
      </c>
      <c r="R27" s="707">
        <f t="shared" ca="1" si="3"/>
        <v>108742.19986028923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553.14311033806393</v>
      </c>
      <c r="D40" s="1013">
        <f ca="1">tertiair!C20</f>
        <v>0</v>
      </c>
      <c r="E40" s="1013">
        <f ca="1">tertiair!D20</f>
        <v>113.47140372480001</v>
      </c>
      <c r="F40" s="1013">
        <f>tertiair!E20</f>
        <v>5.2756685736494777</v>
      </c>
      <c r="G40" s="1013">
        <f ca="1">tertiair!F20</f>
        <v>102.32535034735501</v>
      </c>
      <c r="H40" s="1013">
        <f>tertiair!G20</f>
        <v>0</v>
      </c>
      <c r="I40" s="1013">
        <f>tertiair!H20</f>
        <v>0</v>
      </c>
      <c r="J40" s="1013">
        <f>tertiair!I20</f>
        <v>0</v>
      </c>
      <c r="K40" s="1013">
        <f>tertiair!J20</f>
        <v>9.6723654074099105E-4</v>
      </c>
      <c r="L40" s="1013">
        <f>tertiair!K20</f>
        <v>0</v>
      </c>
      <c r="M40" s="1013">
        <f ca="1">tertiair!L20</f>
        <v>0</v>
      </c>
      <c r="N40" s="1013">
        <f>tertiair!M20</f>
        <v>0</v>
      </c>
      <c r="O40" s="1013">
        <f ca="1">tertiair!N20</f>
        <v>0</v>
      </c>
      <c r="P40" s="1013">
        <f>tertiair!O20</f>
        <v>0</v>
      </c>
      <c r="Q40" s="774">
        <f>tertiair!P20</f>
        <v>0</v>
      </c>
      <c r="R40" s="850">
        <f t="shared" ca="1" si="4"/>
        <v>774.2165002204091</v>
      </c>
    </row>
    <row r="41" spans="1:18">
      <c r="A41" s="822" t="s">
        <v>225</v>
      </c>
      <c r="B41" s="829"/>
      <c r="C41" s="1013">
        <f ca="1">huishoudens!B12</f>
        <v>1687.6895712711378</v>
      </c>
      <c r="D41" s="1013">
        <f ca="1">huishoudens!C12</f>
        <v>0</v>
      </c>
      <c r="E41" s="1013">
        <f>huishoudens!D12</f>
        <v>678.07618537780013</v>
      </c>
      <c r="F41" s="1013">
        <f>huishoudens!E12</f>
        <v>426.00326743145149</v>
      </c>
      <c r="G41" s="1013">
        <f>huishoudens!F12</f>
        <v>5916.8196884866784</v>
      </c>
      <c r="H41" s="1013">
        <f>huishoudens!G12</f>
        <v>0</v>
      </c>
      <c r="I41" s="1013">
        <f>huishoudens!H12</f>
        <v>0</v>
      </c>
      <c r="J41" s="1013">
        <f>huishoudens!I12</f>
        <v>0</v>
      </c>
      <c r="K41" s="1013">
        <f>huishoudens!J12</f>
        <v>873.7509022556992</v>
      </c>
      <c r="L41" s="1013">
        <f>huishoudens!K12</f>
        <v>0</v>
      </c>
      <c r="M41" s="1013">
        <f>huishoudens!L12</f>
        <v>0</v>
      </c>
      <c r="N41" s="1013">
        <f>huishoudens!M12</f>
        <v>0</v>
      </c>
      <c r="O41" s="1013">
        <f>huishoudens!N12</f>
        <v>0</v>
      </c>
      <c r="P41" s="1013">
        <f>huishoudens!O12</f>
        <v>0</v>
      </c>
      <c r="Q41" s="774">
        <f>huishoudens!P12</f>
        <v>0</v>
      </c>
      <c r="R41" s="850">
        <f t="shared" ca="1" si="4"/>
        <v>9582.3396148227657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147.17194062086281</v>
      </c>
      <c r="D43" s="1013">
        <f ca="1">industrie!C22</f>
        <v>0</v>
      </c>
      <c r="E43" s="1013">
        <f>industrie!D22</f>
        <v>31.960585844000008</v>
      </c>
      <c r="F43" s="1013">
        <f>industrie!E22</f>
        <v>34.055756329217623</v>
      </c>
      <c r="G43" s="1013">
        <f>industrie!F22</f>
        <v>113.89791588691212</v>
      </c>
      <c r="H43" s="1013">
        <f>industrie!G22</f>
        <v>0</v>
      </c>
      <c r="I43" s="1013">
        <f>industrie!H22</f>
        <v>0</v>
      </c>
      <c r="J43" s="1013">
        <f>industrie!I22</f>
        <v>0</v>
      </c>
      <c r="K43" s="1013">
        <f>industrie!J22</f>
        <v>3.7950963137535883E-2</v>
      </c>
      <c r="L43" s="1013">
        <f>industrie!K22</f>
        <v>0</v>
      </c>
      <c r="M43" s="1013">
        <f>industrie!L22</f>
        <v>0</v>
      </c>
      <c r="N43" s="1013">
        <f>industrie!M22</f>
        <v>0</v>
      </c>
      <c r="O43" s="1013">
        <f>industrie!N22</f>
        <v>0</v>
      </c>
      <c r="P43" s="1013">
        <f>industrie!O22</f>
        <v>0</v>
      </c>
      <c r="Q43" s="774">
        <f>industrie!P22</f>
        <v>0</v>
      </c>
      <c r="R43" s="849">
        <f t="shared" ca="1" si="4"/>
        <v>327.12414964413006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2388.0046222300643</v>
      </c>
      <c r="D46" s="732">
        <f t="shared" ref="D46:Q46" ca="1" si="5">SUM(D39:D45)</f>
        <v>0</v>
      </c>
      <c r="E46" s="732">
        <f t="shared" ca="1" si="5"/>
        <v>823.50817494660009</v>
      </c>
      <c r="F46" s="732">
        <f t="shared" si="5"/>
        <v>465.33469233431856</v>
      </c>
      <c r="G46" s="732">
        <f t="shared" ca="1" si="5"/>
        <v>6133.042954720946</v>
      </c>
      <c r="H46" s="732">
        <f t="shared" si="5"/>
        <v>0</v>
      </c>
      <c r="I46" s="732">
        <f t="shared" si="5"/>
        <v>0</v>
      </c>
      <c r="J46" s="732">
        <f t="shared" si="5"/>
        <v>0</v>
      </c>
      <c r="K46" s="732">
        <f t="shared" si="5"/>
        <v>873.78982045537748</v>
      </c>
      <c r="L46" s="732">
        <f t="shared" si="5"/>
        <v>0</v>
      </c>
      <c r="M46" s="732">
        <f t="shared" ca="1" si="5"/>
        <v>0</v>
      </c>
      <c r="N46" s="732">
        <f t="shared" si="5"/>
        <v>0</v>
      </c>
      <c r="O46" s="732">
        <f t="shared" ca="1" si="5"/>
        <v>0</v>
      </c>
      <c r="P46" s="732">
        <f t="shared" si="5"/>
        <v>0</v>
      </c>
      <c r="Q46" s="732">
        <f t="shared" si="5"/>
        <v>0</v>
      </c>
      <c r="R46" s="732">
        <f ca="1">SUM(R39:R45)</f>
        <v>10683.680264687306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294.6271786218544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294.6271786218544</v>
      </c>
    </row>
    <row r="50" spans="1:18">
      <c r="A50" s="825" t="s">
        <v>307</v>
      </c>
      <c r="B50" s="835"/>
      <c r="C50" s="703">
        <f ca="1">transport!B18</f>
        <v>4.5278530389409513</v>
      </c>
      <c r="D50" s="703">
        <f>transport!C18</f>
        <v>0</v>
      </c>
      <c r="E50" s="703">
        <f>transport!D18</f>
        <v>18.41370077433476</v>
      </c>
      <c r="F50" s="703">
        <f>transport!E18</f>
        <v>27.101263750244286</v>
      </c>
      <c r="G50" s="703">
        <f>transport!F18</f>
        <v>0</v>
      </c>
      <c r="H50" s="703">
        <f>transport!G18</f>
        <v>9911.3316730260995</v>
      </c>
      <c r="I50" s="703">
        <f>transport!H18</f>
        <v>2541.4609415773516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12502.835432166972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4.5278530389409513</v>
      </c>
      <c r="D52" s="732">
        <f t="shared" ref="D52:Q52" ca="1" si="6">SUM(D48:D51)</f>
        <v>0</v>
      </c>
      <c r="E52" s="732">
        <f t="shared" si="6"/>
        <v>18.41370077433476</v>
      </c>
      <c r="F52" s="732">
        <f t="shared" si="6"/>
        <v>27.101263750244286</v>
      </c>
      <c r="G52" s="732">
        <f t="shared" si="6"/>
        <v>0</v>
      </c>
      <c r="H52" s="732">
        <f t="shared" si="6"/>
        <v>10205.958851647954</v>
      </c>
      <c r="I52" s="732">
        <f t="shared" si="6"/>
        <v>2541.4609415773516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12797.462610788827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239.21641270954265</v>
      </c>
      <c r="D54" s="703">
        <f ca="1">+landbouw!C12</f>
        <v>0</v>
      </c>
      <c r="E54" s="703">
        <f>+landbouw!D12</f>
        <v>8.8560254199999999</v>
      </c>
      <c r="F54" s="703">
        <f>+landbouw!E12</f>
        <v>8.0921858921548182</v>
      </c>
      <c r="G54" s="703">
        <f>+landbouw!F12</f>
        <v>1349.0255326440604</v>
      </c>
      <c r="H54" s="703">
        <f>+landbouw!G12</f>
        <v>0</v>
      </c>
      <c r="I54" s="703">
        <f>+landbouw!H12</f>
        <v>0</v>
      </c>
      <c r="J54" s="703">
        <f>+landbouw!I12</f>
        <v>0</v>
      </c>
      <c r="K54" s="703">
        <f>+landbouw!J12</f>
        <v>62.201742765901756</v>
      </c>
      <c r="L54" s="703">
        <f>+landbouw!K12</f>
        <v>0</v>
      </c>
      <c r="M54" s="703">
        <f>+landbouw!L12</f>
        <v>0</v>
      </c>
      <c r="N54" s="703">
        <f>+landbouw!M12</f>
        <v>0</v>
      </c>
      <c r="O54" s="703">
        <f>+landbouw!N12</f>
        <v>0</v>
      </c>
      <c r="P54" s="703">
        <f>+landbouw!O12</f>
        <v>0</v>
      </c>
      <c r="Q54" s="704">
        <f>+landbouw!P12</f>
        <v>0</v>
      </c>
      <c r="R54" s="731">
        <f ca="1">SUM(C54:Q54)</f>
        <v>1667.3918994316598</v>
      </c>
    </row>
    <row r="55" spans="1:18" ht="15" thickBot="1">
      <c r="A55" s="825" t="s">
        <v>836</v>
      </c>
      <c r="B55" s="835"/>
      <c r="C55" s="703">
        <f ca="1">C25*'EF ele_warmte'!B12</f>
        <v>30.730781446578014</v>
      </c>
      <c r="D55" s="703"/>
      <c r="E55" s="703">
        <f>E25*EF_CO2_aardgas</f>
        <v>51.628978000000004</v>
      </c>
      <c r="F55" s="703"/>
      <c r="G55" s="703"/>
      <c r="H55" s="703"/>
      <c r="I55" s="703"/>
      <c r="J55" s="703"/>
      <c r="K55" s="703"/>
      <c r="L55" s="703"/>
      <c r="M55" s="703"/>
      <c r="N55" s="703"/>
      <c r="O55" s="703"/>
      <c r="P55" s="703"/>
      <c r="Q55" s="704"/>
      <c r="R55" s="731">
        <f ca="1">SUM(C55:Q55)</f>
        <v>82.359759446578011</v>
      </c>
    </row>
    <row r="56" spans="1:18" ht="15.75" thickBot="1">
      <c r="A56" s="823" t="s">
        <v>837</v>
      </c>
      <c r="B56" s="836"/>
      <c r="C56" s="732">
        <f ca="1">SUM(C54:C55)</f>
        <v>269.94719415612064</v>
      </c>
      <c r="D56" s="732">
        <f t="shared" ref="D56:Q56" ca="1" si="7">SUM(D54:D55)</f>
        <v>0</v>
      </c>
      <c r="E56" s="732">
        <f t="shared" si="7"/>
        <v>60.485003420000005</v>
      </c>
      <c r="F56" s="732">
        <f t="shared" si="7"/>
        <v>8.0921858921548182</v>
      </c>
      <c r="G56" s="732">
        <f t="shared" si="7"/>
        <v>1349.0255326440604</v>
      </c>
      <c r="H56" s="732">
        <f t="shared" si="7"/>
        <v>0</v>
      </c>
      <c r="I56" s="732">
        <f t="shared" si="7"/>
        <v>0</v>
      </c>
      <c r="J56" s="732">
        <f t="shared" si="7"/>
        <v>0</v>
      </c>
      <c r="K56" s="732">
        <f t="shared" si="7"/>
        <v>62.201742765901756</v>
      </c>
      <c r="L56" s="732">
        <f t="shared" si="7"/>
        <v>0</v>
      </c>
      <c r="M56" s="732">
        <f t="shared" si="7"/>
        <v>0</v>
      </c>
      <c r="N56" s="732">
        <f t="shared" si="7"/>
        <v>0</v>
      </c>
      <c r="O56" s="732">
        <f t="shared" si="7"/>
        <v>0</v>
      </c>
      <c r="P56" s="732">
        <f t="shared" si="7"/>
        <v>0</v>
      </c>
      <c r="Q56" s="733">
        <f t="shared" si="7"/>
        <v>0</v>
      </c>
      <c r="R56" s="734">
        <f ca="1">SUM(R54:R55)</f>
        <v>1749.7516588782378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2662.4796694251258</v>
      </c>
      <c r="D61" s="740">
        <f t="shared" ref="D61:Q61" ca="1" si="8">D46+D52+D56</f>
        <v>0</v>
      </c>
      <c r="E61" s="740">
        <f t="shared" ca="1" si="8"/>
        <v>902.40687914093485</v>
      </c>
      <c r="F61" s="740">
        <f t="shared" si="8"/>
        <v>500.52814197671768</v>
      </c>
      <c r="G61" s="740">
        <f t="shared" ca="1" si="8"/>
        <v>7482.0684873650061</v>
      </c>
      <c r="H61" s="740">
        <f t="shared" si="8"/>
        <v>10205.958851647954</v>
      </c>
      <c r="I61" s="740">
        <f t="shared" si="8"/>
        <v>2541.4609415773516</v>
      </c>
      <c r="J61" s="740">
        <f t="shared" si="8"/>
        <v>0</v>
      </c>
      <c r="K61" s="740">
        <f t="shared" si="8"/>
        <v>935.99156322127919</v>
      </c>
      <c r="L61" s="740">
        <f t="shared" si="8"/>
        <v>0</v>
      </c>
      <c r="M61" s="740">
        <f t="shared" ca="1" si="8"/>
        <v>0</v>
      </c>
      <c r="N61" s="740">
        <f t="shared" si="8"/>
        <v>0</v>
      </c>
      <c r="O61" s="740">
        <f t="shared" ca="1" si="8"/>
        <v>0</v>
      </c>
      <c r="P61" s="740">
        <f t="shared" si="8"/>
        <v>0</v>
      </c>
      <c r="Q61" s="740">
        <f t="shared" si="8"/>
        <v>0</v>
      </c>
      <c r="R61" s="740">
        <f ca="1">R46+R52+R56</f>
        <v>25230.894534354371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0.19724031961090804</v>
      </c>
      <c r="D63" s="781">
        <f t="shared" ca="1" si="9"/>
        <v>0</v>
      </c>
      <c r="E63" s="1024">
        <f t="shared" ca="1" si="9"/>
        <v>0.20200000000000004</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1451.2389408490867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1451.2389408490867</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1451.2389408490867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1451.2389408490867</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8556.5140768399106</v>
      </c>
      <c r="C4" s="477">
        <f>huishoudens!C8</f>
        <v>0</v>
      </c>
      <c r="D4" s="477">
        <f>huishoudens!D8</f>
        <v>3356.8127989000004</v>
      </c>
      <c r="E4" s="477">
        <f>huishoudens!E8</f>
        <v>1876.6663763500064</v>
      </c>
      <c r="F4" s="477">
        <f>huishoudens!F8</f>
        <v>22160.373365118645</v>
      </c>
      <c r="G4" s="477">
        <f>huishoudens!G8</f>
        <v>0</v>
      </c>
      <c r="H4" s="477">
        <f>huishoudens!H8</f>
        <v>0</v>
      </c>
      <c r="I4" s="477">
        <f>huishoudens!I8</f>
        <v>0</v>
      </c>
      <c r="J4" s="477">
        <f>huishoudens!J8</f>
        <v>2468.222887727964</v>
      </c>
      <c r="K4" s="477">
        <f>huishoudens!K8</f>
        <v>0</v>
      </c>
      <c r="L4" s="477">
        <f>huishoudens!L8</f>
        <v>0</v>
      </c>
      <c r="M4" s="477">
        <f>huishoudens!M8</f>
        <v>0</v>
      </c>
      <c r="N4" s="477">
        <f>huishoudens!N8</f>
        <v>6144.7701863486864</v>
      </c>
      <c r="O4" s="477">
        <f>huishoudens!O8</f>
        <v>89.11</v>
      </c>
      <c r="P4" s="478">
        <f>huishoudens!P8</f>
        <v>400.4</v>
      </c>
      <c r="Q4" s="479">
        <f>SUM(B4:P4)</f>
        <v>45052.869691285217</v>
      </c>
    </row>
    <row r="5" spans="1:17">
      <c r="A5" s="476" t="s">
        <v>156</v>
      </c>
      <c r="B5" s="477">
        <f ca="1">tertiair!B16</f>
        <v>2406.8859550669868</v>
      </c>
      <c r="C5" s="477">
        <f ca="1">tertiair!C16</f>
        <v>0</v>
      </c>
      <c r="D5" s="477">
        <f ca="1">tertiair!D16</f>
        <v>561.73962240000003</v>
      </c>
      <c r="E5" s="477">
        <f>tertiair!E16</f>
        <v>23.240830720922808</v>
      </c>
      <c r="F5" s="477">
        <f ca="1">tertiair!F16</f>
        <v>383.24101253691015</v>
      </c>
      <c r="G5" s="477">
        <f>tertiair!G16</f>
        <v>0</v>
      </c>
      <c r="H5" s="477">
        <f>tertiair!H16</f>
        <v>0</v>
      </c>
      <c r="I5" s="477">
        <f>tertiair!I16</f>
        <v>0</v>
      </c>
      <c r="J5" s="477">
        <f>tertiair!J16</f>
        <v>2.7323066122626866E-3</v>
      </c>
      <c r="K5" s="477">
        <f>tertiair!K16</f>
        <v>0</v>
      </c>
      <c r="L5" s="477">
        <f ca="1">tertiair!L16</f>
        <v>0</v>
      </c>
      <c r="M5" s="477">
        <f>tertiair!M16</f>
        <v>0</v>
      </c>
      <c r="N5" s="477">
        <f ca="1">tertiair!N16</f>
        <v>119.60814339842624</v>
      </c>
      <c r="O5" s="477">
        <f>tertiair!O16</f>
        <v>1.5633333333333335</v>
      </c>
      <c r="P5" s="478">
        <f>tertiair!P16</f>
        <v>0</v>
      </c>
      <c r="Q5" s="476">
        <f t="shared" ref="Q5:Q14" ca="1" si="0">SUM(B5:P5)</f>
        <v>3496.2816297631921</v>
      </c>
    </row>
    <row r="6" spans="1:17">
      <c r="A6" s="476" t="s">
        <v>194</v>
      </c>
      <c r="B6" s="477">
        <f>'openbare verlichting'!B8</f>
        <v>397.52600000000001</v>
      </c>
      <c r="C6" s="477"/>
      <c r="D6" s="477"/>
      <c r="E6" s="477"/>
      <c r="F6" s="477"/>
      <c r="G6" s="477"/>
      <c r="H6" s="477"/>
      <c r="I6" s="477"/>
      <c r="J6" s="477"/>
      <c r="K6" s="477"/>
      <c r="L6" s="477"/>
      <c r="M6" s="477"/>
      <c r="N6" s="477"/>
      <c r="O6" s="477"/>
      <c r="P6" s="478"/>
      <c r="Q6" s="476">
        <f t="shared" si="0"/>
        <v>397.52600000000001</v>
      </c>
    </row>
    <row r="7" spans="1:17">
      <c r="A7" s="476" t="s">
        <v>112</v>
      </c>
      <c r="B7" s="477">
        <f>landbouw!B8</f>
        <v>1212.817</v>
      </c>
      <c r="C7" s="477">
        <f>landbouw!C8</f>
        <v>0</v>
      </c>
      <c r="D7" s="477">
        <f>landbouw!D8</f>
        <v>43.841709999999999</v>
      </c>
      <c r="E7" s="477">
        <f>landbouw!E8</f>
        <v>35.64839600068202</v>
      </c>
      <c r="F7" s="477">
        <f>landbouw!F8</f>
        <v>5052.5300848092147</v>
      </c>
      <c r="G7" s="477">
        <f>landbouw!G8</f>
        <v>0</v>
      </c>
      <c r="H7" s="477">
        <f>landbouw!H8</f>
        <v>0</v>
      </c>
      <c r="I7" s="477">
        <f>landbouw!I8</f>
        <v>0</v>
      </c>
      <c r="J7" s="477">
        <f>landbouw!J8</f>
        <v>175.71113775678464</v>
      </c>
      <c r="K7" s="477">
        <f>landbouw!K8</f>
        <v>0</v>
      </c>
      <c r="L7" s="477">
        <f>landbouw!L8</f>
        <v>0</v>
      </c>
      <c r="M7" s="477">
        <f>landbouw!M8</f>
        <v>0</v>
      </c>
      <c r="N7" s="477">
        <f>landbouw!N8</f>
        <v>0</v>
      </c>
      <c r="O7" s="477">
        <f>landbouw!O8</f>
        <v>0</v>
      </c>
      <c r="P7" s="478">
        <f>landbouw!P8</f>
        <v>0</v>
      </c>
      <c r="Q7" s="476">
        <f t="shared" si="0"/>
        <v>6520.5483285666805</v>
      </c>
    </row>
    <row r="8" spans="1:17">
      <c r="A8" s="476" t="s">
        <v>635</v>
      </c>
      <c r="B8" s="477">
        <f>industrie!B18</f>
        <v>746.15545599999996</v>
      </c>
      <c r="C8" s="477">
        <f>industrie!C18</f>
        <v>0</v>
      </c>
      <c r="D8" s="477">
        <f>industrie!D18</f>
        <v>158.22072200000002</v>
      </c>
      <c r="E8" s="477">
        <f>industrie!E18</f>
        <v>150.02535827849172</v>
      </c>
      <c r="F8" s="477">
        <f>industrie!F18</f>
        <v>426.58395463262963</v>
      </c>
      <c r="G8" s="477">
        <f>industrie!G18</f>
        <v>0</v>
      </c>
      <c r="H8" s="477">
        <f>industrie!H18</f>
        <v>0</v>
      </c>
      <c r="I8" s="477">
        <f>industrie!I18</f>
        <v>0</v>
      </c>
      <c r="J8" s="477">
        <f>industrie!J18</f>
        <v>0.10720611055801096</v>
      </c>
      <c r="K8" s="477">
        <f>industrie!K18</f>
        <v>0</v>
      </c>
      <c r="L8" s="477">
        <f>industrie!L18</f>
        <v>0</v>
      </c>
      <c r="M8" s="477">
        <f>industrie!M18</f>
        <v>0</v>
      </c>
      <c r="N8" s="477">
        <f>industrie!N18</f>
        <v>185.18569488958633</v>
      </c>
      <c r="O8" s="477">
        <f>industrie!O18</f>
        <v>0</v>
      </c>
      <c r="P8" s="478">
        <f>industrie!P18</f>
        <v>0</v>
      </c>
      <c r="Q8" s="476">
        <f t="shared" si="0"/>
        <v>1666.2783919112658</v>
      </c>
    </row>
    <row r="9" spans="1:17" s="482" customFormat="1">
      <c r="A9" s="480" t="s">
        <v>561</v>
      </c>
      <c r="B9" s="481">
        <f>transport!B14</f>
        <v>22.956021607919489</v>
      </c>
      <c r="C9" s="481">
        <f>transport!C14</f>
        <v>0</v>
      </c>
      <c r="D9" s="481">
        <f>transport!D14</f>
        <v>91.1569345264097</v>
      </c>
      <c r="E9" s="481">
        <f>transport!E14</f>
        <v>119.38882709358715</v>
      </c>
      <c r="F9" s="481">
        <f>transport!F14</f>
        <v>0</v>
      </c>
      <c r="G9" s="481">
        <f>transport!G14</f>
        <v>37121.092408337448</v>
      </c>
      <c r="H9" s="481">
        <f>transport!H14</f>
        <v>10206.670448101813</v>
      </c>
      <c r="I9" s="481">
        <f>transport!I14</f>
        <v>0</v>
      </c>
      <c r="J9" s="481">
        <f>transport!J14</f>
        <v>0</v>
      </c>
      <c r="K9" s="481">
        <f>transport!K14</f>
        <v>0</v>
      </c>
      <c r="L9" s="481">
        <f>transport!L14</f>
        <v>0</v>
      </c>
      <c r="M9" s="481">
        <f>transport!M14</f>
        <v>2469.8934788582874</v>
      </c>
      <c r="N9" s="481">
        <f>transport!N14</f>
        <v>0</v>
      </c>
      <c r="O9" s="481">
        <f>transport!O14</f>
        <v>0</v>
      </c>
      <c r="P9" s="481">
        <f>transport!P14</f>
        <v>0</v>
      </c>
      <c r="Q9" s="480">
        <f>SUM(B9:P9)</f>
        <v>50031.158118525462</v>
      </c>
    </row>
    <row r="10" spans="1:17">
      <c r="A10" s="476" t="s">
        <v>551</v>
      </c>
      <c r="B10" s="477">
        <f>transport!B54</f>
        <v>0</v>
      </c>
      <c r="C10" s="477">
        <f>transport!C54</f>
        <v>0</v>
      </c>
      <c r="D10" s="477">
        <f>transport!D54</f>
        <v>0</v>
      </c>
      <c r="E10" s="477">
        <f>transport!E54</f>
        <v>0</v>
      </c>
      <c r="F10" s="477">
        <f>transport!F54</f>
        <v>0</v>
      </c>
      <c r="G10" s="477">
        <f>transport!G54</f>
        <v>1103.4725791080689</v>
      </c>
      <c r="H10" s="477">
        <f>transport!H54</f>
        <v>0</v>
      </c>
      <c r="I10" s="477">
        <f>transport!I54</f>
        <v>0</v>
      </c>
      <c r="J10" s="477">
        <f>transport!J54</f>
        <v>0</v>
      </c>
      <c r="K10" s="477">
        <f>transport!K54</f>
        <v>0</v>
      </c>
      <c r="L10" s="477">
        <f>transport!L54</f>
        <v>0</v>
      </c>
      <c r="M10" s="477">
        <f>transport!M54</f>
        <v>62.672371129349564</v>
      </c>
      <c r="N10" s="477">
        <f>transport!N54</f>
        <v>0</v>
      </c>
      <c r="O10" s="477">
        <f>transport!O54</f>
        <v>0</v>
      </c>
      <c r="P10" s="478">
        <f>transport!P54</f>
        <v>0</v>
      </c>
      <c r="Q10" s="476">
        <f t="shared" si="0"/>
        <v>1166.1449502374185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155.80375000000001</v>
      </c>
      <c r="C14" s="484"/>
      <c r="D14" s="484">
        <f>'SEAP template'!E25</f>
        <v>255.589</v>
      </c>
      <c r="E14" s="484"/>
      <c r="F14" s="484"/>
      <c r="G14" s="484"/>
      <c r="H14" s="484"/>
      <c r="I14" s="484"/>
      <c r="J14" s="484"/>
      <c r="K14" s="484"/>
      <c r="L14" s="484"/>
      <c r="M14" s="484"/>
      <c r="N14" s="484"/>
      <c r="O14" s="484"/>
      <c r="P14" s="485"/>
      <c r="Q14" s="476">
        <f t="shared" si="0"/>
        <v>411.39274999999998</v>
      </c>
    </row>
    <row r="15" spans="1:17" s="486" customFormat="1">
      <c r="A15" s="1039" t="s">
        <v>555</v>
      </c>
      <c r="B15" s="987">
        <f ca="1">SUM(B4:B14)</f>
        <v>13498.658259514817</v>
      </c>
      <c r="C15" s="987">
        <f t="shared" ref="C15:Q15" ca="1" si="1">SUM(C4:C14)</f>
        <v>0</v>
      </c>
      <c r="D15" s="987">
        <f t="shared" ca="1" si="1"/>
        <v>4467.3607878264102</v>
      </c>
      <c r="E15" s="987">
        <f t="shared" si="1"/>
        <v>2204.96978844369</v>
      </c>
      <c r="F15" s="987">
        <f t="shared" ca="1" si="1"/>
        <v>28022.728417097398</v>
      </c>
      <c r="G15" s="987">
        <f t="shared" si="1"/>
        <v>38224.564987445519</v>
      </c>
      <c r="H15" s="987">
        <f t="shared" si="1"/>
        <v>10206.670448101813</v>
      </c>
      <c r="I15" s="987">
        <f t="shared" si="1"/>
        <v>0</v>
      </c>
      <c r="J15" s="987">
        <f t="shared" si="1"/>
        <v>2644.0439639019187</v>
      </c>
      <c r="K15" s="987">
        <f t="shared" si="1"/>
        <v>0</v>
      </c>
      <c r="L15" s="987">
        <f t="shared" ca="1" si="1"/>
        <v>0</v>
      </c>
      <c r="M15" s="987">
        <f t="shared" si="1"/>
        <v>2532.5658499876367</v>
      </c>
      <c r="N15" s="987">
        <f t="shared" ca="1" si="1"/>
        <v>6449.5640246366993</v>
      </c>
      <c r="O15" s="987">
        <f t="shared" si="1"/>
        <v>90.673333333333332</v>
      </c>
      <c r="P15" s="987">
        <f t="shared" si="1"/>
        <v>400.4</v>
      </c>
      <c r="Q15" s="987">
        <f t="shared" ca="1" si="1"/>
        <v>108742.19986028923</v>
      </c>
    </row>
    <row r="17" spans="1:17">
      <c r="A17" s="487" t="s">
        <v>556</v>
      </c>
      <c r="B17" s="786">
        <f ca="1">huishoudens!B10</f>
        <v>0.19724031961090804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1687.6895712711378</v>
      </c>
      <c r="C22" s="477">
        <f t="shared" ref="C22:C32" ca="1" si="3">C4*$C$17</f>
        <v>0</v>
      </c>
      <c r="D22" s="477">
        <f t="shared" ref="D22:D32" si="4">D4*$D$17</f>
        <v>678.07618537780013</v>
      </c>
      <c r="E22" s="477">
        <f t="shared" ref="E22:E32" si="5">E4*$E$17</f>
        <v>426.00326743145149</v>
      </c>
      <c r="F22" s="477">
        <f t="shared" ref="F22:F32" si="6">F4*$F$17</f>
        <v>5916.8196884866784</v>
      </c>
      <c r="G22" s="477">
        <f t="shared" ref="G22:G32" si="7">G4*$G$17</f>
        <v>0</v>
      </c>
      <c r="H22" s="477">
        <f t="shared" ref="H22:H32" si="8">H4*$H$17</f>
        <v>0</v>
      </c>
      <c r="I22" s="477">
        <f t="shared" ref="I22:I32" si="9">I4*$I$17</f>
        <v>0</v>
      </c>
      <c r="J22" s="477">
        <f t="shared" ref="J22:J32" si="10">J4*$J$17</f>
        <v>873.7509022556992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9582.3396148227657</v>
      </c>
    </row>
    <row r="23" spans="1:17">
      <c r="A23" s="476" t="s">
        <v>156</v>
      </c>
      <c r="B23" s="477">
        <f t="shared" ca="1" si="2"/>
        <v>474.73495504441814</v>
      </c>
      <c r="C23" s="477">
        <f t="shared" ca="1" si="3"/>
        <v>0</v>
      </c>
      <c r="D23" s="477">
        <f t="shared" ca="1" si="4"/>
        <v>113.47140372480001</v>
      </c>
      <c r="E23" s="477">
        <f t="shared" si="5"/>
        <v>5.2756685736494777</v>
      </c>
      <c r="F23" s="477">
        <f t="shared" ca="1" si="6"/>
        <v>102.32535034735501</v>
      </c>
      <c r="G23" s="477">
        <f t="shared" si="7"/>
        <v>0</v>
      </c>
      <c r="H23" s="477">
        <f t="shared" si="8"/>
        <v>0</v>
      </c>
      <c r="I23" s="477">
        <f t="shared" si="9"/>
        <v>0</v>
      </c>
      <c r="J23" s="477">
        <f t="shared" si="10"/>
        <v>9.6723654074099105E-4</v>
      </c>
      <c r="K23" s="477">
        <f t="shared" si="11"/>
        <v>0</v>
      </c>
      <c r="L23" s="477">
        <f t="shared" ca="1" si="12"/>
        <v>0</v>
      </c>
      <c r="M23" s="477">
        <f t="shared" si="13"/>
        <v>0</v>
      </c>
      <c r="N23" s="477">
        <f t="shared" ca="1" si="14"/>
        <v>0</v>
      </c>
      <c r="O23" s="477">
        <f t="shared" si="15"/>
        <v>0</v>
      </c>
      <c r="P23" s="478">
        <f t="shared" si="16"/>
        <v>0</v>
      </c>
      <c r="Q23" s="476">
        <f t="shared" ref="Q23:Q32" ca="1" si="17">SUM(B23:P23)</f>
        <v>695.80834492676331</v>
      </c>
    </row>
    <row r="24" spans="1:17">
      <c r="A24" s="476" t="s">
        <v>194</v>
      </c>
      <c r="B24" s="477">
        <f t="shared" ca="1" si="2"/>
        <v>78.408155293645834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78.408155293645834</v>
      </c>
    </row>
    <row r="25" spans="1:17">
      <c r="A25" s="476" t="s">
        <v>112</v>
      </c>
      <c r="B25" s="477">
        <f t="shared" ca="1" si="2"/>
        <v>239.21641270954265</v>
      </c>
      <c r="C25" s="477">
        <f t="shared" ca="1" si="3"/>
        <v>0</v>
      </c>
      <c r="D25" s="477">
        <f t="shared" si="4"/>
        <v>8.8560254199999999</v>
      </c>
      <c r="E25" s="477">
        <f t="shared" si="5"/>
        <v>8.0921858921548182</v>
      </c>
      <c r="F25" s="477">
        <f t="shared" si="6"/>
        <v>1349.0255326440604</v>
      </c>
      <c r="G25" s="477">
        <f t="shared" si="7"/>
        <v>0</v>
      </c>
      <c r="H25" s="477">
        <f t="shared" si="8"/>
        <v>0</v>
      </c>
      <c r="I25" s="477">
        <f t="shared" si="9"/>
        <v>0</v>
      </c>
      <c r="J25" s="477">
        <f t="shared" si="10"/>
        <v>62.201742765901756</v>
      </c>
      <c r="K25" s="477">
        <f t="shared" si="11"/>
        <v>0</v>
      </c>
      <c r="L25" s="477">
        <f t="shared" si="12"/>
        <v>0</v>
      </c>
      <c r="M25" s="477">
        <f t="shared" si="13"/>
        <v>0</v>
      </c>
      <c r="N25" s="477">
        <f t="shared" si="14"/>
        <v>0</v>
      </c>
      <c r="O25" s="477">
        <f t="shared" si="15"/>
        <v>0</v>
      </c>
      <c r="P25" s="478">
        <f t="shared" si="16"/>
        <v>0</v>
      </c>
      <c r="Q25" s="476">
        <f t="shared" ca="1" si="17"/>
        <v>1667.3918994316598</v>
      </c>
    </row>
    <row r="26" spans="1:17">
      <c r="A26" s="476" t="s">
        <v>635</v>
      </c>
      <c r="B26" s="477">
        <f t="shared" ca="1" si="2"/>
        <v>147.17194062086281</v>
      </c>
      <c r="C26" s="477">
        <f t="shared" ca="1" si="3"/>
        <v>0</v>
      </c>
      <c r="D26" s="477">
        <f t="shared" si="4"/>
        <v>31.960585844000008</v>
      </c>
      <c r="E26" s="477">
        <f t="shared" si="5"/>
        <v>34.055756329217623</v>
      </c>
      <c r="F26" s="477">
        <f t="shared" si="6"/>
        <v>113.89791588691212</v>
      </c>
      <c r="G26" s="477">
        <f t="shared" si="7"/>
        <v>0</v>
      </c>
      <c r="H26" s="477">
        <f t="shared" si="8"/>
        <v>0</v>
      </c>
      <c r="I26" s="477">
        <f t="shared" si="9"/>
        <v>0</v>
      </c>
      <c r="J26" s="477">
        <f t="shared" si="10"/>
        <v>3.7950963137535883E-2</v>
      </c>
      <c r="K26" s="477">
        <f t="shared" si="11"/>
        <v>0</v>
      </c>
      <c r="L26" s="477">
        <f t="shared" si="12"/>
        <v>0</v>
      </c>
      <c r="M26" s="477">
        <f t="shared" si="13"/>
        <v>0</v>
      </c>
      <c r="N26" s="477">
        <f t="shared" si="14"/>
        <v>0</v>
      </c>
      <c r="O26" s="477">
        <f t="shared" si="15"/>
        <v>0</v>
      </c>
      <c r="P26" s="478">
        <f t="shared" si="16"/>
        <v>0</v>
      </c>
      <c r="Q26" s="476">
        <f t="shared" ca="1" si="17"/>
        <v>327.12414964413006</v>
      </c>
    </row>
    <row r="27" spans="1:17" s="482" customFormat="1">
      <c r="A27" s="480" t="s">
        <v>561</v>
      </c>
      <c r="B27" s="780">
        <f t="shared" ca="1" si="2"/>
        <v>4.5278530389409513</v>
      </c>
      <c r="C27" s="481">
        <f t="shared" ca="1" si="3"/>
        <v>0</v>
      </c>
      <c r="D27" s="481">
        <f t="shared" si="4"/>
        <v>18.41370077433476</v>
      </c>
      <c r="E27" s="481">
        <f t="shared" si="5"/>
        <v>27.101263750244286</v>
      </c>
      <c r="F27" s="481">
        <f t="shared" si="6"/>
        <v>0</v>
      </c>
      <c r="G27" s="481">
        <f t="shared" si="7"/>
        <v>9911.3316730260995</v>
      </c>
      <c r="H27" s="481">
        <f t="shared" si="8"/>
        <v>2541.4609415773516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12502.835432166972</v>
      </c>
    </row>
    <row r="28" spans="1:17">
      <c r="A28" s="476" t="s">
        <v>551</v>
      </c>
      <c r="B28" s="477">
        <f t="shared" ca="1" si="2"/>
        <v>0</v>
      </c>
      <c r="C28" s="477">
        <f t="shared" ca="1" si="3"/>
        <v>0</v>
      </c>
      <c r="D28" s="477">
        <f t="shared" si="4"/>
        <v>0</v>
      </c>
      <c r="E28" s="477">
        <f t="shared" si="5"/>
        <v>0</v>
      </c>
      <c r="F28" s="477">
        <f t="shared" si="6"/>
        <v>0</v>
      </c>
      <c r="G28" s="477">
        <f t="shared" si="7"/>
        <v>294.6271786218544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294.6271786218544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30.730781446578014</v>
      </c>
      <c r="C32" s="477">
        <f t="shared" ca="1" si="3"/>
        <v>0</v>
      </c>
      <c r="D32" s="477">
        <f t="shared" si="4"/>
        <v>51.628978000000004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82.359759446578011</v>
      </c>
    </row>
    <row r="33" spans="1:17" s="486" customFormat="1">
      <c r="A33" s="1039" t="s">
        <v>555</v>
      </c>
      <c r="B33" s="987">
        <f ca="1">SUM(B22:B32)</f>
        <v>2662.4796694251258</v>
      </c>
      <c r="C33" s="987">
        <f t="shared" ref="C33:Q33" ca="1" si="18">SUM(C22:C32)</f>
        <v>0</v>
      </c>
      <c r="D33" s="987">
        <f t="shared" ca="1" si="18"/>
        <v>902.40687914093485</v>
      </c>
      <c r="E33" s="987">
        <f t="shared" si="18"/>
        <v>500.52814197671768</v>
      </c>
      <c r="F33" s="987">
        <f t="shared" ca="1" si="18"/>
        <v>7482.0684873650061</v>
      </c>
      <c r="G33" s="987">
        <f t="shared" si="18"/>
        <v>10205.958851647954</v>
      </c>
      <c r="H33" s="987">
        <f t="shared" si="18"/>
        <v>2541.4609415773516</v>
      </c>
      <c r="I33" s="987">
        <f t="shared" si="18"/>
        <v>0</v>
      </c>
      <c r="J33" s="987">
        <f t="shared" si="18"/>
        <v>935.99156322127919</v>
      </c>
      <c r="K33" s="987">
        <f t="shared" si="18"/>
        <v>0</v>
      </c>
      <c r="L33" s="987">
        <f t="shared" ca="1" si="18"/>
        <v>0</v>
      </c>
      <c r="M33" s="987">
        <f t="shared" si="18"/>
        <v>0</v>
      </c>
      <c r="N33" s="987">
        <f t="shared" ca="1" si="18"/>
        <v>0</v>
      </c>
      <c r="O33" s="987">
        <f t="shared" si="18"/>
        <v>0</v>
      </c>
      <c r="P33" s="987">
        <f t="shared" si="18"/>
        <v>0</v>
      </c>
      <c r="Q33" s="987">
        <f t="shared" ca="1" si="18"/>
        <v>25230.894534354367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1451.2389408490867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1451.2389408490867</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0.19724031961090804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0.19724031961090804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2019-08-12T08:32:22Z</dcterms:modified>
</cp:coreProperties>
</file>