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33" s="1"/>
  <c r="Q16" i="14"/>
  <c r="Q27"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<sst xmlns="http://schemas.openxmlformats.org/spreadsheetml/2006/main" count="2392" uniqueCount="888">
  <si>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</si>
  <si>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</si>
  <si>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</si>
  <si>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</si>
  <si>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</si>
  <si>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</si>
  <si>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</si>
  <si>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</si>
  <si>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</si>
  <si>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</si>
  <si>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</si>
  <si>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</si>
  <si>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</si>
  <si>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</si>
  <si>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</si>
  <si>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</si>
  <si>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</si>
  <si>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</si>
  <si>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</si>
  <si>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</si>
  <si>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</si>
  <si>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</si>
  <si>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</si>
  <si>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</si>
  <si>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</si>
  <si>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</si>
  <si>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</si>
  <si>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</si>
  <si>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</si>
  <si>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</si>
  <si>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</si>
  <si>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</si>
  <si>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</si>
  <si>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</si>
  <si>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</si>
  <si>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</si>
  <si>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</si>
  <si>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</si>
  <si>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</si>
  <si>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</si>
  <si>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</si>
  <si>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</si>
  <si>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</si>
  <si>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</si>
  <si>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</si>
  <si>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</si>
  <si>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</si>
  <si>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</si>
  <si>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</si>
  <si>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</si>
  <si>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</si>
  <si>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</si>
  <si>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</si>
  <si>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</si>
  <si>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</si>
  <si>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</si>
  <si>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</si>
  <si>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</si>
  <si>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</si>
  <si>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</si>
  <si>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</si>
  <si>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</si>
  <si>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</si>
  <si>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</si>
  <si>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</si>
  <si>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</si>
  <si>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</si>
  <si>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</si>
  <si>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</si>
  <si>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</si>
  <si>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</si>
  <si>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</si>
  <si>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</si>
  <si>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</si>
  <si>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</si>
  <si>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</si>
  <si>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</si>
  <si>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</si>
  <si>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</si>
  <si>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</si>
  <si>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</si>
  <si>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</si>
  <si>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</si>
  <si>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</si>
  <si>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</si>
  <si>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</si>
  <si>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</si>
  <si>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</si>
  <si>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</si>
  <si>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</si>
  <si>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</si>
  <si>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</si>
  <si>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</si>
  <si>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</si>
  <si>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</si>
  <si>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</si>
  <si>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</si>
  <si>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</si>
  <si>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</si>
  <si>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</si>
  <si>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</si>
  <si>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</si>
  <si>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</si>
  <si>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</si>
  <si>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</si>
  <si>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</si>
  <si>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</si>
  <si>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</si>
  <si>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</si>
  <si>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</si>
  <si>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</si>
  <si>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</si>
  <si>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</si>
  <si>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</si>
  <si>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</si>
  <si>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</si>
  <si>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</si>
  <si>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</si>
  <si>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</si>
  <si>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</si>
  <si>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</si>
  <si>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</si>
  <si>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</si>
  <si>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</si>
  <si>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</si>
  <si>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</si>
  <si>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</si>
  <si>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</si>
  <si>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</si>
  <si>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</si>
  <si>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</si>
  <si>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</si>
  <si>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</si>
  <si>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</si>
  <si>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</si>
  <si>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</si>
  <si>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</si>
  <si>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</si>
  <si>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</si>
  <si>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</si>
  <si>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</si>
  <si>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</si>
  <si>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</si>
  <si>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</si>
  <si>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</si>
  <si>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</si>
  <si>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</si>
  <si>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</si>
  <si>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</si>
  <si>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</si>
  <si>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</si>
  <si>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</si>
  <si>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</si>
  <si>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</si>
  <si>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</si>
  <si>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</si>
  <si>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</si>
  <si>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</si>
  <si>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</si>
  <si>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</si>
  <si>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</si>
  <si>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</si>
  <si>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</si>
  <si>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</si>
  <si>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</si>
  <si>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</si>
  <si>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</si>
  <si>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</si>
  <si>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</si>
  <si>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</si>
  <si>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</si>
  <si>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</si>
  <si>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</si>
  <si>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</si>
  <si>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</si>
  <si>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</si>
  <si>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</si>
  <si>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</si>
  <si>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</si>
  <si>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</si>
  <si>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</si>
  <si>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</si>
  <si>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</si>
  <si>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</si>
  <si>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</si>
  <si>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</si>
  <si>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</si>
  <si>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</si>
  <si>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</si>
  <si>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</si>
  <si>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</si>
  <si>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</si>
  <si>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</si>
  <si>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</si>
  <si>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</si>
  <si>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</si>
  <si>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</si>
  <si>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</si>
  <si>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</si>
  <si>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</si>
  <si>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</si>
  <si>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</si>
  <si>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</si>
  <si>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</si>
  <si>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</si>
  <si>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</si>
  <si>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</si>
  <si>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</si>
  <si>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</si>
  <si>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</si>
  <si>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</si>
  <si>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</si>
  <si>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</si>
  <si>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</si>
  <si>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</si>
  <si>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</si>
  <si>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</si>
  <si>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</si>
  <si>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</si>
  <si>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</si>
  <si>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</si>
  <si>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</si>
  <si>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</si>
  <si>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</si>
  <si>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</si>
  <si>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</si>
  <si>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</si>
  <si>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</si>
  <si>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</si>
  <si>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</si>
  <si>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</si>
  <si>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</si>
  <si>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</si>
  <si>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</si>
  <si>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</si>
  <si>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</si>
  <si>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</si>
  <si>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</si>
  <si>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</si>
  <si>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</si>
  <si>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</si>
  <si>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</si>
  <si>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</si>
  <si>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</si>
  <si>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</si>
  <si>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</si>
  <si>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</si>
  <si>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</si>
  <si>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</si>
  <si>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</si>
  <si>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</si>
  <si>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</si>
  <si>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</si>
  <si>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</si>
  <si>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</si>
  <si>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</si>
  <si>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</si>
  <si>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</si>
  <si>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</si>
  <si>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</si>
  <si>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</si>
  <si>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</si>
  <si>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</si>
  <si>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</si>
  <si>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</si>
  <si>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</si>
  <si>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</si>
  <si>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</si>
  <si>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</si>
  <si>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</si>
  <si>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</si>
  <si>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</si>
  <si>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</si>
  <si>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</si>
  <si>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</si>
  <si>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</si>
  <si>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</si>
  <si>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</si>
  <si>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</si>
  <si>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</si>
  <si>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</si>
  <si>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</si>
  <si>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</si>
  <si>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</si>
  <si>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</si>
  <si>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</si>
  <si>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</si>
  <si>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</si>
  <si>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</si>
  <si>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</si>
  <si>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</si>
  <si>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</si>
  <si>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</si>
  <si>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</si>
  <si>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</si>
  <si>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</si>
  <si>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</si>
  <si>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</si>
  <si>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</si>
  <si>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</si>
  <si>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</si>
  <si>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</si>
  <si>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</si>
  <si>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</si>
  <si>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</si>
  <si>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</si>
  <si>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</si>
  <si>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</si>
  <si>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</si>
  <si>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</si>
  <si>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</si>
  <si>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</si>
  <si>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</si>
  <si>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</si>
  <si>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</si>
  <si>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</si>
  <si>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</si>
  <si>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</si>
  <si>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</si>
  <si>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</si>
  <si>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</si>
  <si>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</si>
  <si>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</si>
  <si>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</si>
  <si>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</si>
  <si>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</si>
  <si>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</si>
  <si>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</si>
  <si>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</si>
  <si>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</si>
  <si>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</si>
  <si>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</si>
  <si>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</si>
  <si>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</si>
  <si>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</si>
  <si>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</si>
  <si>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</si>
  <si>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</si>
  <si>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</si>
  <si>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</si>
  <si>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</si>
  <si>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</si>
  <si>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</si>
  <si>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</si>
  <si>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</si>
  <si>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</si>
  <si>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</si>
  <si>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</si>
  <si>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</si>
  <si>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</si>
  <si>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</si>
  <si>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</si>
  <si>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</si>
  <si>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</si>
  <si>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</si>
  <si>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</si>
  <si>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</si>
  <si>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</si>
  <si>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</si>
  <si>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</si>
  <si>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</si>
  <si>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</si>
  <si>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</si>
  <si>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</si>
  <si>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</si>
  <si>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</si>
  <si>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</si>
  <si>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</si>
  <si>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</si>
  <si>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</si>
  <si>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</si>
  <si>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</si>
  <si>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</si>
  <si>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</si>
  <si>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</si>
  <si>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</si>
  <si>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</si>
  <si>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</si>
  <si>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</si>
  <si>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</si>
  <si>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</si>
  <si>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</si>
  <si>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</si>
  <si>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</si>
  <si>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</si>
  <si>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</si>
  <si>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</si>
  <si>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</si>
  <si>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</si>
  <si>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</si>
  <si>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</si>
  <si>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</si>
  <si>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</si>
  <si>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</si>
  <si>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</si>
  <si>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</si>
  <si>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</si>
  <si>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</si>
  <si>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</si>
  <si>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</si>
  <si>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</si>
  <si>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</si>
  <si>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</si>
  <si>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</si>
  <si>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</si>
  <si>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</si>
  <si>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</si>
  <si>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</si>
  <si>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</si>
  <si>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</si>
  <si>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</si>
  <si>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</si>
  <si>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</si>
  <si>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</si>
  <si>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</si>
  <si>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</si>
  <si>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</si>
  <si>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</si>
  <si>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</si>
  <si>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</si>
  <si>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</si>
  <si>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</si>
  <si>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</si>
  <si>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</si>
  <si>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</si>
  <si>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</si>
  <si>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</si>
  <si>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</si>
  <si>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</si>
  <si>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</si>
  <si>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</si>
  <si>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</si>
  <si>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</si>
  <si>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</si>
  <si>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</si>
  <si>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</si>
  <si>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</si>
  <si>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</si>
  <si>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</si>
  <si>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</si>
  <si>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</si>
  <si>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</si>
  <si>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</si>
  <si>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</si>
  <si>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</si>
  <si>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</si>
  <si>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</si>
  <si>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</si>
  <si>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</si>
  <si>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</si>
  <si>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</si>
  <si>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</si>
  <si>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</si>
  <si>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</si>
  <si>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</si>
  <si>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</si>
  <si>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</si>
  <si>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</si>
  <si>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</si>
  <si>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</si>
  <si>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</si>
  <si>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</si>
  <si>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</si>
  <si>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</si>
  <si>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</si>
  <si>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</si>
  <si>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</si>
  <si>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</si>
  <si>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</si>
  <si>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</si>
  <si>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</si>
  <si>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</si>
  <si>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</si>
  <si>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</si>
  <si>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</si>
  <si>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</si>
  <si>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</si>
  <si>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</si>
  <si>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</si>
  <si>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</si>
  <si>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</si>
  <si>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</si>
  <si>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</si>
  <si>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</si>
  <si>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</si>
  <si>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</si>
  <si>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</si>
  <si>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</si>
  <si>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</si>
  <si>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</si>
  <si>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</si>
  <si>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</si>
  <si>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</si>
  <si>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</si>
  <si>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</si>
  <si>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</si>
  <si>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</si>
  <si>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</si>
  <si>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</si>
  <si>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</si>
  <si>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</si>
  <si>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</si>
  <si>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</si>
  <si>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</si>
  <si>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</si>
  <si>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</si>
  <si>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</si>
  <si>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</si>
  <si>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</si>
  <si>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</si>
  <si>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</si>
  <si>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</si>
  <si>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</si>
  <si>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</si>
  <si>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</si>
  <si>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</si>
  <si>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</si>
  <si>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</si>
  <si>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</si>
  <si>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</si>
  <si>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</si>
  <si>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</si>
  <si>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</si>
  <si>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</si>
  <si>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</si>
  <si>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</si>
  <si>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</si>
  <si>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</si>
  <si>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</si>
  <si>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</si>
  <si>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</si>
  <si>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</si>
  <si>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</si>
  <si>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</si>
  <si>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</si>
  <si>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</si>
  <si>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</si>
  <si>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</si>
  <si>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</si>
  <si>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</si>
  <si>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</si>
  <si>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</si>
  <si>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</si>
  <si>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</si>
  <si>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</si>
  <si>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</si>
  <si>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</si>
  <si>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</si>
  <si>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</si>
  <si>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</si>
  <si>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</si>
  <si>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</si>
  <si>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</si>
  <si>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</si>
  <si>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</si>
  <si>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</si>
  <si>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</si>
  <si>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</si>
  <si>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</si>
  <si>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</si>
  <si>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</si>
  <si>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</si>
  <si>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</si>
  <si>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</si>
  <si>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</si>
  <si>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</si>
  <si>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</si>
  <si>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</si>
  <si>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</si>
  <si>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</si>
  <si>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</si>
  <si>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</si>
  <si>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</si>
  <si>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</si>
  <si>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</si>
  <si>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</si>
  <si>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</si>
  <si>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</si>
  <si>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</si>
  <si>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</si>
  <si>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</si>
  <si>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</si>
  <si>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</si>
  <si>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</si>
  <si>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</si>
  <si>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</si>
  <si>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</si>
  <si>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</si>
  <si>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</si>
  <si>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</si>
  <si>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</si>
  <si>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</si>
  <si>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</si>
  <si>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</si>
  <si>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</si>
  <si>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</si>
  <si>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</si>
  <si>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</si>
  <si>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</si>
  <si>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</si>
  <si>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</si>
  <si>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</si>
  <si>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</si>
  <si>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</si>
  <si>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</si>
  <si>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</si>
  <si>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</si>
  <si>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</si>
  <si>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</si>
  <si>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</si>
  <si>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</si>
  <si>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</si>
  <si>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</si>
  <si>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</si>
  <si>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</si>
  <si>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</si>
  <si>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</si>
  <si>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</si>
  <si>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</si>
  <si>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</si>
  <si>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</si>
  <si>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</si>
  <si>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</si>
  <si>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</si>
  <si>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</si>
  <si>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</si>
  <si>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</si>
  <si>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</si>
  <si>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</si>
  <si>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</si>
  <si>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</si>
  <si>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</si>
  <si>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</si>
  <si>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</si>
  <si>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</si>
  <si>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</si>
  <si>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</si>
  <si>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</si>
  <si>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</si>
  <si>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</si>
  <si>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</si>
  <si>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</si>
  <si>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</si>
  <si>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</si>
  <si>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</si>
  <si>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</si>
  <si>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</si>
  <si>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</si>
  <si>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</si>
  <si>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</si>
  <si>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</si>
  <si>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</si>
  <si>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</si>
  <si>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</si>
  <si>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</si>
  <si>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</si>
  <si>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</si>
  <si>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</si>
  <si>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</si>
  <si>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</si>
  <si>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</si>
  <si>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</si>
  <si>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</si>
  <si>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</si>
  <si>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</si>
  <si>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</si>
  <si>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</si>
  <si>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</si>
  <si>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</si>
  <si>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</si>
  <si>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</si>
  <si>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</si>
  <si>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</si>
  <si>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</si>
  <si>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</si>
  <si>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</si>
  <si>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</si>
  <si>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</si>
  <si>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</si>
  <si>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</si>
  <si>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</si>
  <si>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</si>
  <si>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</si>
  <si>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</si>
  <si>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</si>
  <si>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</si>
  <si>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</si>
  <si>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</si>
  <si>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</si>
  <si>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</si>
  <si>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</si>
  <si>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</si>
  <si>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</si>
  <si>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</si>
  <si>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</si>
  <si>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</si>
  <si>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</si>
  <si>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</si>
  <si>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</si>
  <si>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</si>
  <si>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</si>
  <si>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</si>
  <si>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</si>
  <si>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</si>
  <si>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</si>
  <si>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</si>
  <si>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</si>
  <si>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</si>
  <si>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</si>
  <si>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</si>
  <si>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</si>
  <si>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</si>
  <si>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</si>
  <si>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</si>
  <si>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</si>
  <si>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</si>
  <si>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</si>
  <si>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</si>
  <si>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</si>
  <si>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</si>
  <si>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</si>
  <si>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</si>
  <si>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</si>
  <si>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</si>
  <si>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</si>
  <si>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</si>
  <si>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</si>
  <si>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</si>
  <si>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</si>
  <si>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</si>
  <si>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</si>
  <si>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</si>
  <si>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</si>
  <si>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</si>
  <si>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</si>
  <si>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</si>
  <si>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</si>
  <si>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</si>
  <si>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</si>
  <si>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</si>
  <si>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</si>
  <si>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</si>
  <si>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</si>
  <si>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</si>
  <si>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</si>
  <si>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</si>
  <si>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</si>
  <si>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</si>
  <si>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</si>
  <si>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</si>
  <si>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</si>
  <si>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</si>
  <si>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</si>
  <si>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</si>
  <si>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</si>
  <si>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</si>
  <si>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</si>
  <si>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</si>
  <si>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</si>
  <si>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</si>
  <si>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</si>
  <si>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</si>
  <si>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</si>
  <si>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</si>
  <si>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</si>
  <si>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</si>
  <si>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</si>
  <si>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</si>
  <si>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</si>
  <si>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</si>
  <si>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</si>
  <si>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</si>
  <si>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</si>
  <si>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</si>
  <si>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</si>
  <si>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</si>
  <si>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</si>
  <si>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</si>
  <si>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</si>
  <si>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</si>
  <si>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</si>
  <si>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</si>
  <si>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</si>
  <si>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</si>
  <si>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</si>
  <si>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</si>
  <si>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</si>
  <si>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</si>
  <si>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</si>
  <si>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</si>
  <si>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</si>
  <si>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</si>
  <si>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</si>
  <si>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</si>
  <si>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</si>
  <si>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</si>
  <si>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</si>
  <si>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</si>
  <si>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</si>
  <si>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</si>
  <si>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</si>
  <si>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</si>
  <si>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</si>
  <si>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</si>
  <si>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</si>
  <si>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</si>
  <si>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</si>
  <si>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</si>
  <si>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</si>
  <si>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</si>
  <si>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</si>
  <si>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</si>
  <si>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</si>
  <si>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</si>
  <si>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</si>
  <si>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</si>
  <si>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</si>
  <si>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</si>
  <si>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</si>
  <si>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</si>
  <si>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</si>
  <si>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</si>
  <si>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</si>
  <si>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</si>
  <si>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</si>
  <si>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</si>
  <si>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</si>
  <si>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</si>
  <si>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</si>
  <si>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</si>
  <si>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</si>
  <si>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</si>
  <si>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</si>
  <si>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</si>
  <si>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</si>
  <si>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</si>
  <si>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</si>
  <si>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</si>
  <si>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</si>
  <si>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</si>
  <si>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</si>
  <si>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</si>
  <si>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</si>
  <si>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</si>
  <si>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</si>
  <si>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</si>
  <si>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</si>
  <si>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</si>
  <si>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</si>
  <si>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</si>
  <si>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</si>
  <si>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</si>
  <si>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</si>
  <si>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</si>
  <si>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</si>
  <si>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</si>
  <si>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</si>
  <si>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</si>
  <si>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</si>
  <si>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</si>
  <si>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</si>
  <si>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</si>
  <si>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</si>
  <si>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</si>
  <si>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</si>
  <si>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</si>
  <si>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</si>
  <si>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</si>
  <si>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</si>
  <si>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</si>
  <si>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</si>
  <si>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</si>
  <si>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</si>
  <si>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23052</t>
  </si>
  <si>
    <t>MERCHTEM</t>
  </si>
  <si>
    <t>Eandis (januari 2018); Infrax (juni 2018)</t>
  </si>
  <si>
    <t>MOW (september 2017)</t>
  </si>
  <si>
    <t>referentietaak LNE (2017); Jaarverslag De Lijn (2016)</t>
  </si>
  <si>
    <t>VEA (april 2018)</t>
  </si>
  <si>
    <t>VEA (januari 2017)</t>
  </si>
  <si>
    <t>VEA (juni 2018)</t>
  </si>
  <si>
    <t>Vanderstraeten LV</t>
  </si>
  <si>
    <t>Koeweidestraat 25 , 1785 Merchtem</t>
  </si>
  <si>
    <t>WKK-0516 Vanderstraeten</t>
  </si>
  <si>
    <t>interne verbrandingsmotor</t>
  </si>
  <si>
    <t>WKK interne verbrandinsgmotor (gas)</t>
  </si>
  <si>
    <t>Koeweidestraat 25 A, 1785 Merchtem</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</si>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</sst>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121666.03375378989</c:v>
                </c:pt>
                <c:pt idx="1">
                  <c:v>40606.008181027362</c:v>
                </c:pt>
                <c:pt idx="2">
                  <c:v>856.56700000000001</c:v>
                </c:pt>
                <c:pt idx="3">
                  <c:v>15179.203171027902</c:v>
                </c:pt>
                <c:pt idx="4">
                  <c:v>11204.238743017711</c:v>
                </c:pt>
                <c:pt idx="5">
                  <c:v>77116.729801146619</c:v>
                </c:pt>
                <c:pt idx="6">
                  <c:v>1545.7048931113795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525696"/>
        <c:axId val="176527232"/>
      </c:barChart>
      <c:catAx>
        <c:axId val="176525696"/>
        <c:scaling>
          <c:orientation val="minMax"/>
        </c:scaling>
        <c:axPos val="b"/>
        <c:numFmt formatCode="General" sourceLinked="0"/>
        <c:tickLblPos val="nextTo"/>
        <c:crossAx val="176527232"/>
        <c:crosses val="autoZero"/>
        <c:auto val="1"/>
        <c:lblAlgn val="ctr"/>
        <c:lblOffset val="100"/>
      </c:catAx>
      <c:valAx>
        <c:axId val="176527232"/>
        <c:scaling>
          <c:orientation val="minMax"/>
        </c:scaling>
        <c:axPos val="l"/>
        <c:majorGridlines>
          <c:spPr>
            <a:ln>
              <a:noFill/>
            </a:ln>
          </c:spPr>
        </c:majorGridlines>
        <c:numFmt formatCode="#,##0" sourceLinked="1"/>
        <c:tickLblPos val="nextTo"/>
        <c:crossAx val="17652569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121666.03375378989</c:v>
                </c:pt>
                <c:pt idx="1">
                  <c:v>40606.008181027362</c:v>
                </c:pt>
                <c:pt idx="2">
                  <c:v>856.56700000000001</c:v>
                </c:pt>
                <c:pt idx="3">
                  <c:v>15179.203171027902</c:v>
                </c:pt>
                <c:pt idx="4">
                  <c:v>11204.238743017711</c:v>
                </c:pt>
                <c:pt idx="5">
                  <c:v>77116.729801146619</c:v>
                </c:pt>
                <c:pt idx="6">
                  <c:v>1545.7048931113795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24927.359604296482</c:v>
                </c:pt>
                <c:pt idx="2">
                  <c:v>8025.516129906995</c:v>
                </c:pt>
                <c:pt idx="3">
                  <c:v>174.89883135087445</c:v>
                </c:pt>
                <c:pt idx="4">
                  <c:v>3812.502643412231</c:v>
                </c:pt>
                <c:pt idx="5">
                  <c:v>1962.2478231166115</c:v>
                </c:pt>
                <c:pt idx="6">
                  <c:v>19261.37121131911</c:v>
                </c:pt>
                <c:pt idx="7">
                  <c:v>390.52321201295206</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92192"/>
        <c:axId val="183222656"/>
      </c:barChart>
      <c:catAx>
        <c:axId val="183192192"/>
        <c:scaling>
          <c:orientation val="minMax"/>
        </c:scaling>
        <c:axPos val="b"/>
        <c:numFmt formatCode="General" sourceLinked="0"/>
        <c:tickLblPos val="nextTo"/>
        <c:crossAx val="183222656"/>
        <c:crosses val="autoZero"/>
        <c:auto val="1"/>
        <c:lblAlgn val="ctr"/>
        <c:lblOffset val="100"/>
      </c:catAx>
      <c:valAx>
        <c:axId val="183222656"/>
        <c:scaling>
          <c:orientation val="minMax"/>
        </c:scaling>
        <c:axPos val="l"/>
        <c:majorGridlines>
          <c:spPr>
            <a:ln>
              <a:noFill/>
            </a:ln>
          </c:spPr>
        </c:majorGridlines>
        <c:numFmt formatCode="#,##0" sourceLinked="1"/>
        <c:tickLblPos val="nextTo"/>
        <c:crossAx val="18319219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24927.359604296482</c:v>
                </c:pt>
                <c:pt idx="2">
                  <c:v>8025.516129906995</c:v>
                </c:pt>
                <c:pt idx="3">
                  <c:v>174.89883135087445</c:v>
                </c:pt>
                <c:pt idx="4">
                  <c:v>3812.502643412231</c:v>
                </c:pt>
                <c:pt idx="5">
                  <c:v>1962.2478231166115</c:v>
                </c:pt>
                <c:pt idx="6">
                  <c:v>19261.37121131911</c:v>
                </c:pt>
                <c:pt idx="7">
                  <c:v>390.52321201295206</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23052</v>
      </c>
      <c r="B6" s="415"/>
      <c r="C6" s="416"/>
    </row>
    <row r="7" spans="1:7" s="413" customFormat="1" ht="15.75" customHeight="1">
      <c r="A7" s="417" t="str">
        <f>txtMunicipality</f>
        <v>MERCHTEM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0.20418581541300848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0.20418581541300848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23052</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6783</v>
      </c>
      <c r="C9" s="342">
        <v>6941</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2265.4499999999998</v>
      </c>
    </row>
    <row r="15" spans="1:6">
      <c r="A15" s="348" t="s">
        <v>184</v>
      </c>
      <c r="B15" s="334">
        <v>37</v>
      </c>
    </row>
    <row r="16" spans="1:6">
      <c r="A16" s="348" t="s">
        <v>6</v>
      </c>
      <c r="B16" s="334">
        <v>1315</v>
      </c>
    </row>
    <row r="17" spans="1:6">
      <c r="A17" s="348" t="s">
        <v>7</v>
      </c>
      <c r="B17" s="334">
        <v>567</v>
      </c>
    </row>
    <row r="18" spans="1:6">
      <c r="A18" s="348" t="s">
        <v>8</v>
      </c>
      <c r="B18" s="334">
        <v>1061</v>
      </c>
    </row>
    <row r="19" spans="1:6">
      <c r="A19" s="348" t="s">
        <v>9</v>
      </c>
      <c r="B19" s="334">
        <v>919</v>
      </c>
    </row>
    <row r="20" spans="1:6">
      <c r="A20" s="348" t="s">
        <v>10</v>
      </c>
      <c r="B20" s="334">
        <v>640</v>
      </c>
    </row>
    <row r="21" spans="1:6">
      <c r="A21" s="348" t="s">
        <v>11</v>
      </c>
      <c r="B21" s="334">
        <v>289</v>
      </c>
    </row>
    <row r="22" spans="1:6">
      <c r="A22" s="348" t="s">
        <v>12</v>
      </c>
      <c r="B22" s="334">
        <v>1984</v>
      </c>
    </row>
    <row r="23" spans="1:6">
      <c r="A23" s="348" t="s">
        <v>13</v>
      </c>
      <c r="B23" s="334">
        <v>15</v>
      </c>
    </row>
    <row r="24" spans="1:6">
      <c r="A24" s="348" t="s">
        <v>14</v>
      </c>
      <c r="B24" s="334">
        <v>0</v>
      </c>
    </row>
    <row r="25" spans="1:6">
      <c r="A25" s="348" t="s">
        <v>15</v>
      </c>
      <c r="B25" s="334">
        <v>0</v>
      </c>
    </row>
    <row r="26" spans="1:6">
      <c r="A26" s="348" t="s">
        <v>16</v>
      </c>
      <c r="B26" s="334">
        <v>298</v>
      </c>
    </row>
    <row r="27" spans="1:6">
      <c r="A27" s="348" t="s">
        <v>17</v>
      </c>
      <c r="B27" s="334">
        <v>5</v>
      </c>
    </row>
    <row r="28" spans="1:6" s="356" customFormat="1">
      <c r="A28" s="355" t="s">
        <v>18</v>
      </c>
      <c r="B28" s="355">
        <v>110542</v>
      </c>
    </row>
    <row r="29" spans="1:6">
      <c r="A29" s="355" t="s">
        <v>744</v>
      </c>
      <c r="B29" s="355">
        <v>84</v>
      </c>
      <c r="C29" s="356"/>
      <c r="D29" s="356"/>
      <c r="E29" s="356"/>
      <c r="F29" s="356"/>
    </row>
    <row r="30" spans="1:6">
      <c r="A30" s="341" t="s">
        <v>745</v>
      </c>
      <c r="B30" s="341">
        <v>24</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5390.2195530706003</v>
      </c>
    </row>
    <row r="37" spans="1:6">
      <c r="A37" s="348" t="s">
        <v>25</v>
      </c>
      <c r="B37" s="348" t="s">
        <v>28</v>
      </c>
      <c r="C37" s="334">
        <v>0</v>
      </c>
      <c r="D37" s="334">
        <v>0</v>
      </c>
      <c r="E37" s="334">
        <v>0</v>
      </c>
      <c r="F37" s="334">
        <v>0</v>
      </c>
    </row>
    <row r="38" spans="1:6">
      <c r="A38" s="348" t="s">
        <v>25</v>
      </c>
      <c r="B38" s="348" t="s">
        <v>29</v>
      </c>
      <c r="C38" s="334">
        <v>0</v>
      </c>
      <c r="D38" s="334">
        <v>0</v>
      </c>
      <c r="E38" s="334">
        <v>1</v>
      </c>
      <c r="F38" s="334">
        <v>8860.2810448944001</v>
      </c>
    </row>
    <row r="39" spans="1:6">
      <c r="A39" s="348" t="s">
        <v>30</v>
      </c>
      <c r="B39" s="348" t="s">
        <v>31</v>
      </c>
      <c r="C39" s="334">
        <v>3531</v>
      </c>
      <c r="D39" s="334">
        <v>54165518.827469997</v>
      </c>
      <c r="E39" s="334">
        <v>6628</v>
      </c>
      <c r="F39" s="334">
        <v>27847223.105933499</v>
      </c>
    </row>
    <row r="40" spans="1:6">
      <c r="A40" s="348" t="s">
        <v>30</v>
      </c>
      <c r="B40" s="348" t="s">
        <v>29</v>
      </c>
      <c r="C40" s="334">
        <v>0</v>
      </c>
      <c r="D40" s="334">
        <v>0</v>
      </c>
      <c r="E40" s="334">
        <v>0</v>
      </c>
      <c r="F40" s="334">
        <v>0</v>
      </c>
    </row>
    <row r="41" spans="1:6">
      <c r="A41" s="348" t="s">
        <v>32</v>
      </c>
      <c r="B41" s="348" t="s">
        <v>33</v>
      </c>
      <c r="C41" s="334">
        <v>32</v>
      </c>
      <c r="D41" s="334">
        <v>467948.002443965</v>
      </c>
      <c r="E41" s="334">
        <v>110</v>
      </c>
      <c r="F41" s="334">
        <v>1976325.2122638701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327125.91644190898</v>
      </c>
      <c r="E44" s="334">
        <v>11</v>
      </c>
      <c r="F44" s="334">
        <v>151342.78938606899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7</v>
      </c>
      <c r="F47" s="334">
        <v>434310.57142864302</v>
      </c>
    </row>
    <row r="48" spans="1:6">
      <c r="A48" s="348" t="s">
        <v>32</v>
      </c>
      <c r="B48" s="348" t="s">
        <v>29</v>
      </c>
      <c r="C48" s="334">
        <v>27</v>
      </c>
      <c r="D48" s="334">
        <v>1009658.1824318001</v>
      </c>
      <c r="E48" s="334">
        <v>44</v>
      </c>
      <c r="F48" s="334">
        <v>1226598.45975978</v>
      </c>
    </row>
    <row r="49" spans="1:6">
      <c r="A49" s="348" t="s">
        <v>32</v>
      </c>
      <c r="B49" s="348" t="s">
        <v>40</v>
      </c>
      <c r="C49" s="334">
        <v>0</v>
      </c>
      <c r="D49" s="334">
        <v>0</v>
      </c>
      <c r="E49" s="334">
        <v>0</v>
      </c>
      <c r="F49" s="334">
        <v>0</v>
      </c>
    </row>
    <row r="50" spans="1:6">
      <c r="A50" s="348" t="s">
        <v>32</v>
      </c>
      <c r="B50" s="348" t="s">
        <v>41</v>
      </c>
      <c r="C50" s="334">
        <v>7</v>
      </c>
      <c r="D50" s="334">
        <v>565525.47961225302</v>
      </c>
      <c r="E50" s="334">
        <v>8</v>
      </c>
      <c r="F50" s="334">
        <v>508636.295333897</v>
      </c>
    </row>
    <row r="51" spans="1:6">
      <c r="A51" s="348" t="s">
        <v>42</v>
      </c>
      <c r="B51" s="348" t="s">
        <v>43</v>
      </c>
      <c r="C51" s="334">
        <v>3</v>
      </c>
      <c r="D51" s="334">
        <v>85174.236969826496</v>
      </c>
      <c r="E51" s="334">
        <v>93</v>
      </c>
      <c r="F51" s="334">
        <v>2356238.06637944</v>
      </c>
    </row>
    <row r="52" spans="1:6">
      <c r="A52" s="348" t="s">
        <v>42</v>
      </c>
      <c r="B52" s="348" t="s">
        <v>29</v>
      </c>
      <c r="C52" s="334">
        <v>6</v>
      </c>
      <c r="D52" s="334">
        <v>1481083.5322823799</v>
      </c>
      <c r="E52" s="334">
        <v>9</v>
      </c>
      <c r="F52" s="334">
        <v>209964.791963133</v>
      </c>
    </row>
    <row r="53" spans="1:6">
      <c r="A53" s="348" t="s">
        <v>44</v>
      </c>
      <c r="B53" s="348" t="s">
        <v>45</v>
      </c>
      <c r="C53" s="334">
        <v>114</v>
      </c>
      <c r="D53" s="334">
        <v>2017998.2945143001</v>
      </c>
      <c r="E53" s="334">
        <v>316</v>
      </c>
      <c r="F53" s="334">
        <v>1182651.8250035699</v>
      </c>
    </row>
    <row r="54" spans="1:6">
      <c r="A54" s="348" t="s">
        <v>46</v>
      </c>
      <c r="B54" s="348" t="s">
        <v>47</v>
      </c>
      <c r="C54" s="334">
        <v>0</v>
      </c>
      <c r="D54" s="334">
        <v>0</v>
      </c>
      <c r="E54" s="334">
        <v>1</v>
      </c>
      <c r="F54" s="334">
        <v>856567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37</v>
      </c>
      <c r="D57" s="334">
        <v>2119619.5576133998</v>
      </c>
      <c r="E57" s="334">
        <v>77</v>
      </c>
      <c r="F57" s="334">
        <v>1943849.3925073899</v>
      </c>
    </row>
    <row r="58" spans="1:6">
      <c r="A58" s="348" t="s">
        <v>49</v>
      </c>
      <c r="B58" s="348" t="s">
        <v>51</v>
      </c>
      <c r="C58" s="334">
        <v>17</v>
      </c>
      <c r="D58" s="334">
        <v>410150.50069150899</v>
      </c>
      <c r="E58" s="334">
        <v>38</v>
      </c>
      <c r="F58" s="334">
        <v>255109.528516035</v>
      </c>
    </row>
    <row r="59" spans="1:6">
      <c r="A59" s="348" t="s">
        <v>49</v>
      </c>
      <c r="B59" s="348" t="s">
        <v>52</v>
      </c>
      <c r="C59" s="334">
        <v>84</v>
      </c>
      <c r="D59" s="334">
        <v>4116703.61580793</v>
      </c>
      <c r="E59" s="334">
        <v>219</v>
      </c>
      <c r="F59" s="334">
        <v>5279193.4303327203</v>
      </c>
    </row>
    <row r="60" spans="1:6">
      <c r="A60" s="348" t="s">
        <v>49</v>
      </c>
      <c r="B60" s="348" t="s">
        <v>53</v>
      </c>
      <c r="C60" s="334">
        <v>43</v>
      </c>
      <c r="D60" s="334">
        <v>1788825.4795357699</v>
      </c>
      <c r="E60" s="334">
        <v>71</v>
      </c>
      <c r="F60" s="334">
        <v>1205119.2353580999</v>
      </c>
    </row>
    <row r="61" spans="1:6">
      <c r="A61" s="348" t="s">
        <v>49</v>
      </c>
      <c r="B61" s="348" t="s">
        <v>54</v>
      </c>
      <c r="C61" s="334">
        <v>102</v>
      </c>
      <c r="D61" s="334">
        <v>6208990.8251774898</v>
      </c>
      <c r="E61" s="334">
        <v>315</v>
      </c>
      <c r="F61" s="334">
        <v>3690526.1702078702</v>
      </c>
    </row>
    <row r="62" spans="1:6">
      <c r="A62" s="348" t="s">
        <v>49</v>
      </c>
      <c r="B62" s="348" t="s">
        <v>55</v>
      </c>
      <c r="C62" s="334">
        <v>7</v>
      </c>
      <c r="D62" s="334">
        <v>1116099.6092356101</v>
      </c>
      <c r="E62" s="334">
        <v>5</v>
      </c>
      <c r="F62" s="334">
        <v>70473.285441620406</v>
      </c>
    </row>
    <row r="63" spans="1:6">
      <c r="A63" s="348" t="s">
        <v>49</v>
      </c>
      <c r="B63" s="348" t="s">
        <v>29</v>
      </c>
      <c r="C63" s="334">
        <v>83</v>
      </c>
      <c r="D63" s="334">
        <v>6727347.7898348803</v>
      </c>
      <c r="E63" s="334">
        <v>87</v>
      </c>
      <c r="F63" s="334">
        <v>2881467.7530943998</v>
      </c>
    </row>
    <row r="64" spans="1:6">
      <c r="A64" s="348" t="s">
        <v>56</v>
      </c>
      <c r="B64" s="348" t="s">
        <v>57</v>
      </c>
      <c r="C64" s="334">
        <v>0</v>
      </c>
      <c r="D64" s="334">
        <v>0</v>
      </c>
      <c r="E64" s="334">
        <v>0</v>
      </c>
      <c r="F64" s="334">
        <v>0</v>
      </c>
    </row>
    <row r="65" spans="1:6">
      <c r="A65" s="348" t="s">
        <v>56</v>
      </c>
      <c r="B65" s="348" t="s">
        <v>29</v>
      </c>
      <c r="C65" s="334">
        <v>2</v>
      </c>
      <c r="D65" s="334">
        <v>46795.0890655619</v>
      </c>
      <c r="E65" s="334">
        <v>5</v>
      </c>
      <c r="F65" s="334">
        <v>10537.6741203806</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6</v>
      </c>
      <c r="D68" s="334">
        <v>216028.89908789401</v>
      </c>
      <c r="E68" s="334">
        <v>19</v>
      </c>
      <c r="F68" s="334">
        <v>114290.026317913</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32795993</v>
      </c>
      <c r="E73" s="475">
        <v>33174790.890996203</v>
      </c>
    </row>
    <row r="74" spans="1:6">
      <c r="A74" s="348" t="s">
        <v>64</v>
      </c>
      <c r="B74" s="348" t="s">
        <v>657</v>
      </c>
      <c r="C74" s="1295" t="s">
        <v>659</v>
      </c>
      <c r="D74" s="475">
        <v>920631.5</v>
      </c>
      <c r="E74" s="475">
        <v>934304.69039676501</v>
      </c>
    </row>
    <row r="75" spans="1:6">
      <c r="A75" s="348" t="s">
        <v>65</v>
      </c>
      <c r="B75" s="348" t="s">
        <v>656</v>
      </c>
      <c r="C75" s="1295" t="s">
        <v>660</v>
      </c>
      <c r="D75" s="475">
        <v>52809876</v>
      </c>
      <c r="E75" s="475">
        <v>53387899.553643674</v>
      </c>
    </row>
    <row r="76" spans="1:6">
      <c r="A76" s="348" t="s">
        <v>65</v>
      </c>
      <c r="B76" s="348" t="s">
        <v>657</v>
      </c>
      <c r="C76" s="1295" t="s">
        <v>661</v>
      </c>
      <c r="D76" s="475">
        <v>1934055.5</v>
      </c>
      <c r="E76" s="475">
        <v>1959140.312412197</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419221</v>
      </c>
      <c r="C83" s="475">
        <v>419791.45841631992</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3142.1387615534645</v>
      </c>
    </row>
    <row r="92" spans="1:6">
      <c r="A92" s="341" t="s">
        <v>69</v>
      </c>
      <c r="B92" s="342">
        <v>1017.8649128163624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1490</v>
      </c>
    </row>
    <row r="98" spans="1:6">
      <c r="A98" s="348" t="s">
        <v>72</v>
      </c>
      <c r="B98" s="334">
        <v>2</v>
      </c>
    </row>
    <row r="99" spans="1:6">
      <c r="A99" s="348" t="s">
        <v>73</v>
      </c>
      <c r="B99" s="334">
        <v>41</v>
      </c>
    </row>
    <row r="100" spans="1:6">
      <c r="A100" s="348" t="s">
        <v>74</v>
      </c>
      <c r="B100" s="334">
        <v>697</v>
      </c>
    </row>
    <row r="101" spans="1:6">
      <c r="A101" s="348" t="s">
        <v>75</v>
      </c>
      <c r="B101" s="334">
        <v>39</v>
      </c>
    </row>
    <row r="102" spans="1:6">
      <c r="A102" s="348" t="s">
        <v>76</v>
      </c>
      <c r="B102" s="334">
        <v>62</v>
      </c>
    </row>
    <row r="103" spans="1:6">
      <c r="A103" s="348" t="s">
        <v>77</v>
      </c>
      <c r="B103" s="334">
        <v>137</v>
      </c>
    </row>
    <row r="104" spans="1:6">
      <c r="A104" s="348" t="s">
        <v>78</v>
      </c>
      <c r="B104" s="334">
        <v>3027</v>
      </c>
    </row>
    <row r="105" spans="1:6">
      <c r="A105" s="341" t="s">
        <v>79</v>
      </c>
      <c r="B105" s="341">
        <v>11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33</v>
      </c>
      <c r="C123" s="334">
        <v>17</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105</v>
      </c>
    </row>
    <row r="130" spans="1:6">
      <c r="A130" s="348" t="s">
        <v>295</v>
      </c>
      <c r="B130" s="334">
        <v>2</v>
      </c>
    </row>
    <row r="131" spans="1:6">
      <c r="A131" s="348" t="s">
        <v>296</v>
      </c>
      <c r="B131" s="334">
        <v>1</v>
      </c>
    </row>
    <row r="132" spans="1:6">
      <c r="A132" s="341" t="s">
        <v>297</v>
      </c>
      <c r="B132" s="342">
        <v>39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55251.413306980641</v>
      </c>
      <c r="C3" s="43" t="s">
        <v>170</v>
      </c>
      <c r="D3" s="43"/>
      <c r="E3" s="154"/>
      <c r="F3" s="43"/>
      <c r="G3" s="43"/>
      <c r="H3" s="43"/>
      <c r="I3" s="43"/>
      <c r="J3" s="43"/>
      <c r="K3" s="96"/>
    </row>
    <row r="4" spans="1:11">
      <c r="A4" s="383" t="s">
        <v>171</v>
      </c>
      <c r="B4" s="49">
        <f>IF(ISERROR('SEAP template'!B78+'SEAP template'!C78),0,'SEAP template'!B78+'SEAP template'!C78)</f>
        <v>4203.6536743698271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0.20418581541300848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856.56700000000001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856.56700000000001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0.20418581541300848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174.89883135087445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27847.223105933499</v>
      </c>
      <c r="C5" s="17">
        <f>IF(ISERROR('Eigen informatie GS &amp; warmtenet'!B57),0,'Eigen informatie GS &amp; warmtenet'!B57)</f>
        <v>0</v>
      </c>
      <c r="D5" s="30">
        <f>(SUM(HH_hh_gas_kWh,HH_rest_gas_kWh)/1000)*0.902</f>
        <v>48857.297982377939</v>
      </c>
      <c r="E5" s="17">
        <f>B46*B57</f>
        <v>2222.1178764730689</v>
      </c>
      <c r="F5" s="17">
        <f>B51*B62</f>
        <v>30809.649932041699</v>
      </c>
      <c r="G5" s="18"/>
      <c r="H5" s="17"/>
      <c r="I5" s="17"/>
      <c r="J5" s="17">
        <f>B50*B61+C50*C61</f>
        <v>0</v>
      </c>
      <c r="K5" s="17"/>
      <c r="L5" s="17"/>
      <c r="M5" s="17"/>
      <c r="N5" s="17">
        <f>B48*B59+C48*C59</f>
        <v>7203.4494287435682</v>
      </c>
      <c r="O5" s="17">
        <f>B69*B70*B71</f>
        <v>192.29000000000002</v>
      </c>
      <c r="P5" s="17">
        <f>B77*B78*B79/1000-B77*B78*B79/1000/B80</f>
        <v>1391.8666666666668</v>
      </c>
    </row>
    <row r="6" spans="1:16">
      <c r="A6" s="16" t="s">
        <v>621</v>
      </c>
      <c r="B6" s="788">
        <f>kWh_PV_kleiner_dan_10kW</f>
        <v>3142.1387615534645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30989.361867486965</v>
      </c>
      <c r="C8" s="21">
        <f>C5</f>
        <v>0</v>
      </c>
      <c r="D8" s="21">
        <f>D5</f>
        <v>48857.297982377939</v>
      </c>
      <c r="E8" s="21">
        <f>E5</f>
        <v>2222.1178764730689</v>
      </c>
      <c r="F8" s="21">
        <f>F5</f>
        <v>30809.649932041699</v>
      </c>
      <c r="G8" s="21"/>
      <c r="H8" s="21"/>
      <c r="I8" s="21"/>
      <c r="J8" s="21">
        <f>J5</f>
        <v>0</v>
      </c>
      <c r="K8" s="21"/>
      <c r="L8" s="21">
        <f>L5</f>
        <v>0</v>
      </c>
      <c r="M8" s="21">
        <f>M5</f>
        <v>0</v>
      </c>
      <c r="N8" s="21">
        <f>N5</f>
        <v>7203.4494287435682</v>
      </c>
      <c r="O8" s="21">
        <f>O5</f>
        <v>192.29000000000002</v>
      </c>
      <c r="P8" s="21">
        <f>P5</f>
        <v>1391.8666666666668</v>
      </c>
    </row>
    <row r="9" spans="1:16">
      <c r="B9" s="19"/>
      <c r="C9" s="19"/>
      <c r="D9" s="258"/>
      <c r="E9" s="19"/>
      <c r="F9" s="19"/>
      <c r="G9" s="19"/>
      <c r="H9" s="19"/>
      <c r="I9" s="19"/>
      <c r="J9" s="19"/>
      <c r="K9" s="19"/>
      <c r="L9" s="19"/>
      <c r="M9" s="19"/>
      <c r="N9" s="19"/>
      <c r="O9" s="19"/>
      <c r="P9" s="19"/>
    </row>
    <row r="10" spans="1:16">
      <c r="A10" s="24" t="s">
        <v>214</v>
      </c>
      <c r="B10" s="25">
        <f ca="1">'EF ele_warmte'!B12</f>
        <v>0.20418581541300848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6327.5881220416168</v>
      </c>
      <c r="C12" s="23">
        <f ca="1">C10*C8</f>
        <v>0</v>
      </c>
      <c r="D12" s="23">
        <f>D8*D10</f>
        <v>9869.174192440345</v>
      </c>
      <c r="E12" s="23">
        <f>E10*E8</f>
        <v>504.42075795938666</v>
      </c>
      <c r="F12" s="23">
        <f>F10*F8</f>
        <v>8226.1765318551334</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1490</v>
      </c>
      <c r="C18" s="166" t="s">
        <v>111</v>
      </c>
      <c r="D18" s="228"/>
      <c r="E18" s="15"/>
    </row>
    <row r="19" spans="1:7">
      <c r="A19" s="171" t="s">
        <v>72</v>
      </c>
      <c r="B19" s="37">
        <f>aantalw2001_ander</f>
        <v>2</v>
      </c>
      <c r="C19" s="166" t="s">
        <v>111</v>
      </c>
      <c r="D19" s="229"/>
      <c r="E19" s="15"/>
    </row>
    <row r="20" spans="1:7">
      <c r="A20" s="171" t="s">
        <v>73</v>
      </c>
      <c r="B20" s="37">
        <f>aantalw2001_propaan</f>
        <v>41</v>
      </c>
      <c r="C20" s="167">
        <f>IF(ISERROR(B20/SUM($B$20,$B$21,$B$22)*100),0,B20/SUM($B$20,$B$21,$B$22)*100)</f>
        <v>5.2767052767052771</v>
      </c>
      <c r="D20" s="229"/>
      <c r="E20" s="15"/>
    </row>
    <row r="21" spans="1:7">
      <c r="A21" s="171" t="s">
        <v>74</v>
      </c>
      <c r="B21" s="37">
        <f>aantalw2001_elektriciteit</f>
        <v>697</v>
      </c>
      <c r="C21" s="167">
        <f>IF(ISERROR(B21/SUM($B$20,$B$21,$B$22)*100),0,B21/SUM($B$20,$B$21,$B$22)*100)</f>
        <v>89.703989703989706</v>
      </c>
      <c r="D21" s="229"/>
      <c r="E21" s="15"/>
    </row>
    <row r="22" spans="1:7">
      <c r="A22" s="171" t="s">
        <v>75</v>
      </c>
      <c r="B22" s="37">
        <f>aantalw2001_hout</f>
        <v>39</v>
      </c>
      <c r="C22" s="167">
        <f>IF(ISERROR(B22/SUM($B$20,$B$21,$B$22)*100),0,B22/SUM($B$20,$B$21,$B$22)*100)</f>
        <v>5.019305019305019</v>
      </c>
      <c r="D22" s="229"/>
      <c r="E22" s="15"/>
    </row>
    <row r="23" spans="1:7">
      <c r="A23" s="171" t="s">
        <v>76</v>
      </c>
      <c r="B23" s="37">
        <f>aantalw2001_niet_gespec</f>
        <v>62</v>
      </c>
      <c r="C23" s="166" t="s">
        <v>111</v>
      </c>
      <c r="D23" s="228"/>
      <c r="E23" s="15"/>
    </row>
    <row r="24" spans="1:7">
      <c r="A24" s="171" t="s">
        <v>77</v>
      </c>
      <c r="B24" s="37">
        <f>aantalw2001_steenkool</f>
        <v>137</v>
      </c>
      <c r="C24" s="166" t="s">
        <v>111</v>
      </c>
      <c r="D24" s="229"/>
      <c r="E24" s="15"/>
    </row>
    <row r="25" spans="1:7">
      <c r="A25" s="171" t="s">
        <v>78</v>
      </c>
      <c r="B25" s="37">
        <f>aantalw2001_stookolie</f>
        <v>3027</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793</v>
      </c>
      <c r="B28" s="37">
        <f>aantalHuishoudens2011</f>
        <v>6783</v>
      </c>
      <c r="C28" s="36"/>
      <c r="D28" s="228"/>
    </row>
    <row r="29" spans="1:7" s="15" customFormat="1">
      <c r="A29" s="230" t="s">
        <v>794</v>
      </c>
      <c r="B29" s="37">
        <f>SUM(HH_hh_gas_aantal,HH_rest_gas_aantal)</f>
        <v>3531</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3531</v>
      </c>
      <c r="C32" s="167">
        <f>IF(ISERROR(B32/SUM($B$32,$B$34,$B$35,$B$36,$B$38,$B$39)*100),0,B32/SUM($B$32,$B$34,$B$35,$B$36,$B$38,$B$39)*100)</f>
        <v>52.622950819672134</v>
      </c>
      <c r="D32" s="233"/>
      <c r="G32" s="15"/>
    </row>
    <row r="33" spans="1:7">
      <c r="A33" s="171" t="s">
        <v>72</v>
      </c>
      <c r="B33" s="34" t="s">
        <v>111</v>
      </c>
      <c r="C33" s="167"/>
      <c r="D33" s="233"/>
      <c r="G33" s="15"/>
    </row>
    <row r="34" spans="1:7">
      <c r="A34" s="171" t="s">
        <v>73</v>
      </c>
      <c r="B34" s="33">
        <f>IF((($B$28-$B$32-$B$39-$B$77-$B$38)*C20/100)&lt;0,0,($B$28-$B$32-$B$39-$B$77-$B$38)*C20/100)</f>
        <v>104.94839124839126</v>
      </c>
      <c r="C34" s="167">
        <f>IF(ISERROR(B34/SUM($B$32,$B$34,$B$35,$B$36,$B$38,$B$39)*100),0,B34/SUM($B$32,$B$34,$B$35,$B$36,$B$38,$B$39)*100)</f>
        <v>1.5640594820922691</v>
      </c>
      <c r="D34" s="233"/>
      <c r="G34" s="15"/>
    </row>
    <row r="35" spans="1:7">
      <c r="A35" s="171" t="s">
        <v>74</v>
      </c>
      <c r="B35" s="33">
        <f>IF((($B$28-$B$32-$B$39-$B$77-$B$38)*C21/100)&lt;0,0,($B$28-$B$32-$B$39-$B$77-$B$38)*C21/100)</f>
        <v>1784.1226512226515</v>
      </c>
      <c r="C35" s="167">
        <f>IF(ISERROR(B35/SUM($B$32,$B$34,$B$35,$B$36,$B$38,$B$39)*100),0,B35/SUM($B$32,$B$34,$B$35,$B$36,$B$38,$B$39)*100)</f>
        <v>26.589011195568581</v>
      </c>
      <c r="D35" s="233"/>
      <c r="G35" s="15"/>
    </row>
    <row r="36" spans="1:7">
      <c r="A36" s="171" t="s">
        <v>75</v>
      </c>
      <c r="B36" s="33">
        <f>IF((($B$28-$B$32-$B$39-$B$77-$B$38)*C22/100)&lt;0,0,($B$28-$B$32-$B$39-$B$77-$B$38)*C22/100)</f>
        <v>99.828957528957531</v>
      </c>
      <c r="C36" s="167">
        <f>IF(ISERROR(B36/SUM($B$32,$B$34,$B$35,$B$36,$B$38,$B$39)*100),0,B36/SUM($B$32,$B$34,$B$35,$B$36,$B$38,$B$39)*100)</f>
        <v>1.4877638975999632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1190.0999999999999</v>
      </c>
      <c r="C39" s="167">
        <f>IF(ISERROR(B39/SUM($B$32,$B$34,$B$35,$B$36,$B$38,$B$39)*100),0,B39/SUM($B$32,$B$34,$B$35,$B$36,$B$38,$B$39)*100)</f>
        <v>17.736214605067062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3531</v>
      </c>
      <c r="C44" s="34" t="s">
        <v>111</v>
      </c>
      <c r="D44" s="174"/>
    </row>
    <row r="45" spans="1:7">
      <c r="A45" s="171" t="s">
        <v>72</v>
      </c>
      <c r="B45" s="33" t="str">
        <f t="shared" si="0"/>
        <v>-</v>
      </c>
      <c r="C45" s="34" t="s">
        <v>111</v>
      </c>
      <c r="D45" s="174"/>
    </row>
    <row r="46" spans="1:7">
      <c r="A46" s="171" t="s">
        <v>73</v>
      </c>
      <c r="B46" s="33">
        <f t="shared" si="0"/>
        <v>104.94839124839126</v>
      </c>
      <c r="C46" s="34" t="s">
        <v>111</v>
      </c>
      <c r="D46" s="174"/>
    </row>
    <row r="47" spans="1:7">
      <c r="A47" s="171" t="s">
        <v>74</v>
      </c>
      <c r="B47" s="33">
        <f t="shared" si="0"/>
        <v>1784.1226512226515</v>
      </c>
      <c r="C47" s="34" t="s">
        <v>111</v>
      </c>
      <c r="D47" s="174"/>
    </row>
    <row r="48" spans="1:7">
      <c r="A48" s="171" t="s">
        <v>75</v>
      </c>
      <c r="B48" s="33">
        <f t="shared" si="0"/>
        <v>99.828957528957531</v>
      </c>
      <c r="C48" s="33">
        <f>B48*10</f>
        <v>998.28957528957528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1190.0999999999999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15325.738795458139</v>
      </c>
      <c r="C5" s="17">
        <f>IF(ISERROR('Eigen informatie GS &amp; warmtenet'!B58),0,'Eigen informatie GS &amp; warmtenet'!B58)</f>
        <v>0</v>
      </c>
      <c r="D5" s="30">
        <f>SUM(D6:D12)</f>
        <v>20283.939114862726</v>
      </c>
      <c r="E5" s="17">
        <f>SUM(E6:E12)</f>
        <v>247.93424792060625</v>
      </c>
      <c r="F5" s="17">
        <f>SUM(F6:F12)</f>
        <v>2781.1366111296929</v>
      </c>
      <c r="G5" s="18"/>
      <c r="H5" s="17"/>
      <c r="I5" s="17"/>
      <c r="J5" s="17">
        <f>SUM(J6:J12)</f>
        <v>4.9170897514442376E-2</v>
      </c>
      <c r="K5" s="17"/>
      <c r="L5" s="17"/>
      <c r="M5" s="17"/>
      <c r="N5" s="17">
        <f>SUM(N6:N12)</f>
        <v>1945.0169074253399</v>
      </c>
      <c r="O5" s="17">
        <f>B38*B39*B40</f>
        <v>3.1266666666666669</v>
      </c>
      <c r="P5" s="17">
        <f>B46*B47*B48/1000-B46*B47*B48/1000/B49</f>
        <v>19.066666666666666</v>
      </c>
      <c r="R5" s="32"/>
    </row>
    <row r="6" spans="1:18">
      <c r="A6" s="32" t="s">
        <v>54</v>
      </c>
      <c r="B6" s="37">
        <f>B26</f>
        <v>3690.5261702078701</v>
      </c>
      <c r="C6" s="33"/>
      <c r="D6" s="37">
        <f>IF(ISERROR(TER_kantoor_gas_kWh/1000),0,TER_kantoor_gas_kWh/1000)*0.902</f>
        <v>5600.5097243100954</v>
      </c>
      <c r="E6" s="33">
        <f>$C$26*'E Balans VL '!I12/100/3.6*1000000</f>
        <v>2.3130990585088454E-2</v>
      </c>
      <c r="F6" s="33">
        <f>$C$26*('E Balans VL '!L12+'E Balans VL '!N12)/100/3.6*1000000</f>
        <v>554.58296024580591</v>
      </c>
      <c r="G6" s="34"/>
      <c r="H6" s="33"/>
      <c r="I6" s="33"/>
      <c r="J6" s="33">
        <f>$C$26*('E Balans VL '!D12+'E Balans VL '!E12)/100/3.6*1000000</f>
        <v>0</v>
      </c>
      <c r="K6" s="33"/>
      <c r="L6" s="33"/>
      <c r="M6" s="33"/>
      <c r="N6" s="33">
        <f>$C$26*'E Balans VL '!Y12/100/3.6*1000000</f>
        <v>3.5294411012492213</v>
      </c>
      <c r="O6" s="33"/>
      <c r="P6" s="33"/>
      <c r="R6" s="32"/>
    </row>
    <row r="7" spans="1:18">
      <c r="A7" s="32" t="s">
        <v>53</v>
      </c>
      <c r="B7" s="37">
        <f t="shared" ref="B7:B12" si="0">B27</f>
        <v>1205.1192353581</v>
      </c>
      <c r="C7" s="33"/>
      <c r="D7" s="37">
        <f>IF(ISERROR(TER_horeca_gas_kWh/1000),0,TER_horeca_gas_kWh/1000)*0.902</f>
        <v>1613.5205825412645</v>
      </c>
      <c r="E7" s="33">
        <f>$C$27*'E Balans VL '!I9/100/3.6*1000000</f>
        <v>17.257106715783223</v>
      </c>
      <c r="F7" s="33">
        <f>$C$27*('E Balans VL '!L9+'E Balans VL '!N9)/100/3.6*1000000</f>
        <v>152.60784155998061</v>
      </c>
      <c r="G7" s="34"/>
      <c r="H7" s="33"/>
      <c r="I7" s="33"/>
      <c r="J7" s="33">
        <f>$C$27*('E Balans VL '!D9+'E Balans VL '!E9)/100/3.6*1000000</f>
        <v>0</v>
      </c>
      <c r="K7" s="33"/>
      <c r="L7" s="33"/>
      <c r="M7" s="33"/>
      <c r="N7" s="33">
        <f>$C$27*'E Balans VL '!Y9/100/3.6*1000000</f>
        <v>0.34644520956712543</v>
      </c>
      <c r="O7" s="33"/>
      <c r="P7" s="33"/>
      <c r="R7" s="32"/>
    </row>
    <row r="8" spans="1:18">
      <c r="A8" s="6" t="s">
        <v>52</v>
      </c>
      <c r="B8" s="37">
        <f t="shared" si="0"/>
        <v>5279.1934303327207</v>
      </c>
      <c r="C8" s="33"/>
      <c r="D8" s="37">
        <f>IF(ISERROR(TER_handel_gas_kWh/1000),0,TER_handel_gas_kWh/1000)*0.902</f>
        <v>3713.2666614587529</v>
      </c>
      <c r="E8" s="33">
        <f>$C$28*'E Balans VL '!I13/100/3.6*1000000</f>
        <v>191.47569471719979</v>
      </c>
      <c r="F8" s="33">
        <f>$C$28*('E Balans VL '!L13+'E Balans VL '!N13)/100/3.6*1000000</f>
        <v>1016.8261099141417</v>
      </c>
      <c r="G8" s="34"/>
      <c r="H8" s="33"/>
      <c r="I8" s="33"/>
      <c r="J8" s="33">
        <f>$C$28*('E Balans VL '!D13+'E Balans VL '!E13)/100/3.6*1000000</f>
        <v>0</v>
      </c>
      <c r="K8" s="33"/>
      <c r="L8" s="33"/>
      <c r="M8" s="33"/>
      <c r="N8" s="33">
        <f>$C$28*'E Balans VL '!Y13/100/3.6*1000000</f>
        <v>7.312897589245666</v>
      </c>
      <c r="O8" s="33"/>
      <c r="P8" s="33"/>
      <c r="R8" s="32"/>
    </row>
    <row r="9" spans="1:18">
      <c r="A9" s="32" t="s">
        <v>51</v>
      </c>
      <c r="B9" s="37">
        <f t="shared" si="0"/>
        <v>255.109528516035</v>
      </c>
      <c r="C9" s="33"/>
      <c r="D9" s="37">
        <f>IF(ISERROR(TER_gezond_gas_kWh/1000),0,TER_gezond_gas_kWh/1000)*0.902</f>
        <v>369.95575162374109</v>
      </c>
      <c r="E9" s="33">
        <f>$C$29*'E Balans VL '!I10/100/3.6*1000000</f>
        <v>1.5972375236659106E-2</v>
      </c>
      <c r="F9" s="33">
        <f>$C$29*('E Balans VL '!L10+'E Balans VL '!N10)/100/3.6*1000000</f>
        <v>37.897297195599045</v>
      </c>
      <c r="G9" s="34"/>
      <c r="H9" s="33"/>
      <c r="I9" s="33"/>
      <c r="J9" s="33">
        <f>$C$29*('E Balans VL '!D10+'E Balans VL '!E10)/100/3.6*1000000</f>
        <v>0</v>
      </c>
      <c r="K9" s="33"/>
      <c r="L9" s="33"/>
      <c r="M9" s="33"/>
      <c r="N9" s="33">
        <f>$C$29*'E Balans VL '!Y10/100/3.6*1000000</f>
        <v>3.9460588030513537</v>
      </c>
      <c r="O9" s="33"/>
      <c r="P9" s="33"/>
      <c r="R9" s="32"/>
    </row>
    <row r="10" spans="1:18">
      <c r="A10" s="32" t="s">
        <v>50</v>
      </c>
      <c r="B10" s="37">
        <f t="shared" si="0"/>
        <v>1943.8493925073899</v>
      </c>
      <c r="C10" s="33"/>
      <c r="D10" s="37">
        <f>IF(ISERROR(TER_ander_gas_kWh/1000),0,TER_ander_gas_kWh/1000)*0.902</f>
        <v>1911.8968409672864</v>
      </c>
      <c r="E10" s="33">
        <f>$C$30*'E Balans VL '!I14/100/3.6*1000000</f>
        <v>2.3169990144284416</v>
      </c>
      <c r="F10" s="33">
        <f>$C$30*('E Balans VL '!L14+'E Balans VL '!N14)/100/3.6*1000000</f>
        <v>508.59741783648042</v>
      </c>
      <c r="G10" s="34"/>
      <c r="H10" s="33"/>
      <c r="I10" s="33"/>
      <c r="J10" s="33">
        <f>$C$30*('E Balans VL '!D14+'E Balans VL '!E14)/100/3.6*1000000</f>
        <v>4.2193350632111083E-2</v>
      </c>
      <c r="K10" s="33"/>
      <c r="L10" s="33"/>
      <c r="M10" s="33"/>
      <c r="N10" s="33">
        <f>$C$30*'E Balans VL '!Y14/100/3.6*1000000</f>
        <v>1650.6693387921705</v>
      </c>
      <c r="O10" s="33"/>
      <c r="P10" s="33"/>
      <c r="R10" s="32"/>
    </row>
    <row r="11" spans="1:18">
      <c r="A11" s="32" t="s">
        <v>55</v>
      </c>
      <c r="B11" s="37">
        <f t="shared" si="0"/>
        <v>70.473285441620405</v>
      </c>
      <c r="C11" s="33"/>
      <c r="D11" s="37">
        <f>IF(ISERROR(TER_onderwijs_gas_kWh/1000),0,TER_onderwijs_gas_kWh/1000)*0.902</f>
        <v>1006.7218475305203</v>
      </c>
      <c r="E11" s="33">
        <f>$C$31*'E Balans VL '!I11/100/3.6*1000000</f>
        <v>1.0633283692944051</v>
      </c>
      <c r="F11" s="33">
        <f>$C$31*('E Balans VL '!L11+'E Balans VL '!N11)/100/3.6*1000000</f>
        <v>12.348045453600315</v>
      </c>
      <c r="G11" s="34"/>
      <c r="H11" s="33"/>
      <c r="I11" s="33"/>
      <c r="J11" s="33">
        <f>$C$31*('E Balans VL '!D11+'E Balans VL '!E11)/100/3.6*1000000</f>
        <v>0</v>
      </c>
      <c r="K11" s="33"/>
      <c r="L11" s="33"/>
      <c r="M11" s="33"/>
      <c r="N11" s="33">
        <f>$C$31*'E Balans VL '!Y11/100/3.6*1000000</f>
        <v>0.19831718281590585</v>
      </c>
      <c r="O11" s="33"/>
      <c r="P11" s="33"/>
      <c r="R11" s="32"/>
    </row>
    <row r="12" spans="1:18">
      <c r="A12" s="32" t="s">
        <v>260</v>
      </c>
      <c r="B12" s="37">
        <f t="shared" si="0"/>
        <v>2881.4677530944</v>
      </c>
      <c r="C12" s="33"/>
      <c r="D12" s="37">
        <f>IF(ISERROR(TER_rest_gas_kWh/1000),0,TER_rest_gas_kWh/1000)*0.902</f>
        <v>6068.0677064310621</v>
      </c>
      <c r="E12" s="33">
        <f>$C$32*'E Balans VL '!I8/100/3.6*1000000</f>
        <v>35.782015738078684</v>
      </c>
      <c r="F12" s="33">
        <f>$C$32*('E Balans VL '!L8+'E Balans VL '!N8)/100/3.6*1000000</f>
        <v>498.27693892408462</v>
      </c>
      <c r="G12" s="34"/>
      <c r="H12" s="33"/>
      <c r="I12" s="33"/>
      <c r="J12" s="33">
        <f>$C$32*('E Balans VL '!D8+'E Balans VL '!E8)/100/3.6*1000000</f>
        <v>6.9775468823312925E-3</v>
      </c>
      <c r="K12" s="33"/>
      <c r="L12" s="33"/>
      <c r="M12" s="33"/>
      <c r="N12" s="33">
        <f>$C$32*'E Balans VL '!Y8/100/3.6*1000000</f>
        <v>279.01440874724005</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15325.738795458139</v>
      </c>
      <c r="C16" s="21">
        <f t="shared" ca="1" si="1"/>
        <v>0</v>
      </c>
      <c r="D16" s="21">
        <f t="shared" ca="1" si="1"/>
        <v>20283.939114862726</v>
      </c>
      <c r="E16" s="21">
        <f t="shared" si="1"/>
        <v>247.93424792060625</v>
      </c>
      <c r="F16" s="21">
        <f t="shared" ca="1" si="1"/>
        <v>2781.1366111296929</v>
      </c>
      <c r="G16" s="21">
        <f t="shared" si="1"/>
        <v>0</v>
      </c>
      <c r="H16" s="21">
        <f t="shared" si="1"/>
        <v>0</v>
      </c>
      <c r="I16" s="21">
        <f t="shared" si="1"/>
        <v>0</v>
      </c>
      <c r="J16" s="21">
        <f t="shared" si="1"/>
        <v>4.9170897514442376E-2</v>
      </c>
      <c r="K16" s="21">
        <f t="shared" si="1"/>
        <v>0</v>
      </c>
      <c r="L16" s="21">
        <f t="shared" ca="1" si="1"/>
        <v>0</v>
      </c>
      <c r="M16" s="21">
        <f t="shared" si="1"/>
        <v>0</v>
      </c>
      <c r="N16" s="21">
        <f t="shared" ca="1" si="1"/>
        <v>1945.0169074253399</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0.20418581541300848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3129.2984727573985</v>
      </c>
      <c r="C20" s="23">
        <f t="shared" ref="C20:P20" ca="1" si="2">C16*C18</f>
        <v>0</v>
      </c>
      <c r="D20" s="23">
        <f t="shared" ca="1" si="2"/>
        <v>4097.3557012022711</v>
      </c>
      <c r="E20" s="23">
        <f t="shared" si="2"/>
        <v>56.281074277977623</v>
      </c>
      <c r="F20" s="23">
        <f t="shared" ca="1" si="2"/>
        <v>742.56347517162806</v>
      </c>
      <c r="G20" s="23">
        <f t="shared" si="2"/>
        <v>0</v>
      </c>
      <c r="H20" s="23">
        <f t="shared" si="2"/>
        <v>0</v>
      </c>
      <c r="I20" s="23">
        <f t="shared" si="2"/>
        <v>0</v>
      </c>
      <c r="J20" s="23">
        <f t="shared" si="2"/>
        <v>1.7406497720112601E-2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3690.5261702078701</v>
      </c>
      <c r="C26" s="39">
        <f>IF(ISERROR(B26*3.6/1000000/'E Balans VL '!Z12*100),0,B26*3.6/1000000/'E Balans VL '!Z12*100)</f>
        <v>7.8011876972508262E-2</v>
      </c>
      <c r="D26" s="237" t="s">
        <v>754</v>
      </c>
      <c r="F26" s="6"/>
    </row>
    <row r="27" spans="1:18">
      <c r="A27" s="231" t="s">
        <v>53</v>
      </c>
      <c r="B27" s="33">
        <f>IF(ISERROR(TER_horeca_ele_kWh/1000),0,TER_horeca_ele_kWh/1000)</f>
        <v>1205.1192353581</v>
      </c>
      <c r="C27" s="39">
        <f>IF(ISERROR(B27*3.6/1000000/'E Balans VL '!Z9*100),0,B27*3.6/1000000/'E Balans VL '!Z9*100)</f>
        <v>9.4999100152409005E-2</v>
      </c>
      <c r="D27" s="237" t="s">
        <v>754</v>
      </c>
      <c r="F27" s="6"/>
    </row>
    <row r="28" spans="1:18">
      <c r="A28" s="171" t="s">
        <v>52</v>
      </c>
      <c r="B28" s="33">
        <f>IF(ISERROR(TER_handel_ele_kWh/1000),0,TER_handel_ele_kWh/1000)</f>
        <v>5279.1934303327207</v>
      </c>
      <c r="C28" s="39">
        <f>IF(ISERROR(B28*3.6/1000000/'E Balans VL '!Z13*100),0,B28*3.6/1000000/'E Balans VL '!Z13*100)</f>
        <v>0.15322352367990796</v>
      </c>
      <c r="D28" s="237" t="s">
        <v>754</v>
      </c>
      <c r="F28" s="6"/>
    </row>
    <row r="29" spans="1:18">
      <c r="A29" s="231" t="s">
        <v>51</v>
      </c>
      <c r="B29" s="33">
        <f>IF(ISERROR(TER_gezond_ele_kWh/1000),0,TER_gezond_ele_kWh/1000)</f>
        <v>255.109528516035</v>
      </c>
      <c r="C29" s="39">
        <f>IF(ISERROR(B29*3.6/1000000/'E Balans VL '!Z10*100),0,B29*3.6/1000000/'E Balans VL '!Z10*100)</f>
        <v>2.6867222361770363E-2</v>
      </c>
      <c r="D29" s="237" t="s">
        <v>754</v>
      </c>
      <c r="F29" s="6"/>
    </row>
    <row r="30" spans="1:18">
      <c r="A30" s="231" t="s">
        <v>50</v>
      </c>
      <c r="B30" s="33">
        <f>IF(ISERROR(TER_ander_ele_kWh/1000),0,TER_ander_ele_kWh/1000)</f>
        <v>1943.8493925073899</v>
      </c>
      <c r="C30" s="39">
        <f>IF(ISERROR(B30*3.6/1000000/'E Balans VL '!Z14*100),0,B30*3.6/1000000/'E Balans VL '!Z14*100)</f>
        <v>0.14337875339333295</v>
      </c>
      <c r="D30" s="237" t="s">
        <v>754</v>
      </c>
      <c r="F30" s="6"/>
    </row>
    <row r="31" spans="1:18">
      <c r="A31" s="231" t="s">
        <v>55</v>
      </c>
      <c r="B31" s="33">
        <f>IF(ISERROR(TER_onderwijs_ele_kWh/1000),0,TER_onderwijs_ele_kWh/1000)</f>
        <v>70.473285441620405</v>
      </c>
      <c r="C31" s="39">
        <f>IF(ISERROR(B31*3.6/1000000/'E Balans VL '!Z11*100),0,B31*3.6/1000000/'E Balans VL '!Z11*100)</f>
        <v>1.7501817938256725E-2</v>
      </c>
      <c r="D31" s="237" t="s">
        <v>754</v>
      </c>
    </row>
    <row r="32" spans="1:18">
      <c r="A32" s="231" t="s">
        <v>260</v>
      </c>
      <c r="B32" s="33">
        <f>IF(ISERROR(TER_rest_ele_kWh/1000),0,TER_rest_ele_kWh/1000)</f>
        <v>2881.4677530944</v>
      </c>
      <c r="C32" s="39">
        <f>IF(ISERROR(B32*3.6/1000000/'E Balans VL '!Z8*100),0,B32*3.6/1000000/'E Balans VL '!Z8*100)</f>
        <v>2.3710654848321591E-2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4297.213328172259</v>
      </c>
      <c r="C5" s="17">
        <f>IF(ISERROR('Eigen informatie GS &amp; warmtenet'!B59),0,'Eigen informatie GS &amp; warmtenet'!B59)</f>
        <v>0</v>
      </c>
      <c r="D5" s="30">
        <f>SUM(D6:D15)</f>
        <v>2137.972337998794</v>
      </c>
      <c r="E5" s="17">
        <f>SUM(E6:E15)</f>
        <v>648.52978869110962</v>
      </c>
      <c r="F5" s="17">
        <f>SUM(F6:F15)</f>
        <v>1888.2130285951584</v>
      </c>
      <c r="G5" s="18"/>
      <c r="H5" s="17"/>
      <c r="I5" s="17"/>
      <c r="J5" s="17">
        <f>SUM(J6:J15)</f>
        <v>4.4583693688278432</v>
      </c>
      <c r="K5" s="17"/>
      <c r="L5" s="17"/>
      <c r="M5" s="17"/>
      <c r="N5" s="17">
        <f>SUM(N6:N15)</f>
        <v>2227.8518901915636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151.342789386069</v>
      </c>
      <c r="C8" s="33"/>
      <c r="D8" s="37">
        <f>IF( ISERROR(IND_metaal_Gas_kWH/1000),0,IND_metaal_Gas_kWH/1000)*0.902</f>
        <v>295.06757663060193</v>
      </c>
      <c r="E8" s="33">
        <f>C30*'E Balans VL '!I18/100/3.6*1000000</f>
        <v>1.3914507801488514</v>
      </c>
      <c r="F8" s="33">
        <f>C30*'E Balans VL '!L18/100/3.6*1000000+C30*'E Balans VL '!N18/100/3.6*1000000</f>
        <v>14.190914932913133</v>
      </c>
      <c r="G8" s="34"/>
      <c r="H8" s="33"/>
      <c r="I8" s="33"/>
      <c r="J8" s="40">
        <f>C30*'E Balans VL '!D18/100/3.6*1000000+C30*'E Balans VL '!E18/100/3.6*1000000</f>
        <v>0</v>
      </c>
      <c r="K8" s="33"/>
      <c r="L8" s="33"/>
      <c r="M8" s="33"/>
      <c r="N8" s="33">
        <f>C30*'E Balans VL '!Y18/100/3.6*1000000</f>
        <v>2.1591549950838971</v>
      </c>
      <c r="O8" s="33"/>
      <c r="P8" s="33"/>
      <c r="R8" s="32"/>
    </row>
    <row r="9" spans="1:18">
      <c r="A9" s="6" t="s">
        <v>33</v>
      </c>
      <c r="B9" s="37">
        <f t="shared" si="0"/>
        <v>1976.3252122638701</v>
      </c>
      <c r="C9" s="33"/>
      <c r="D9" s="37">
        <f>IF( ISERROR(IND_andere_gas_kWh/1000),0,IND_andere_gas_kWh/1000)*0.902</f>
        <v>422.08909820445643</v>
      </c>
      <c r="E9" s="33">
        <f>C31*'E Balans VL '!I19/100/3.6*1000000</f>
        <v>577.71833405856933</v>
      </c>
      <c r="F9" s="33">
        <f>C31*'E Balans VL '!L19/100/3.6*1000000+C31*'E Balans VL '!N19/100/3.6*1000000</f>
        <v>1588.1269021269986</v>
      </c>
      <c r="G9" s="34"/>
      <c r="H9" s="33"/>
      <c r="I9" s="33"/>
      <c r="J9" s="40">
        <f>C31*'E Balans VL '!D19/100/3.6*1000000+C31*'E Balans VL '!E19/100/3.6*1000000</f>
        <v>0</v>
      </c>
      <c r="K9" s="33"/>
      <c r="L9" s="33"/>
      <c r="M9" s="33"/>
      <c r="N9" s="33">
        <f>C31*'E Balans VL '!Y19/100/3.6*1000000</f>
        <v>653.00850076289339</v>
      </c>
      <c r="O9" s="33"/>
      <c r="P9" s="33"/>
      <c r="R9" s="32"/>
    </row>
    <row r="10" spans="1:18">
      <c r="A10" s="6" t="s">
        <v>41</v>
      </c>
      <c r="B10" s="37">
        <f t="shared" si="0"/>
        <v>508.63629533389701</v>
      </c>
      <c r="C10" s="33"/>
      <c r="D10" s="37">
        <f>IF( ISERROR(IND_voed_gas_kWh/1000),0,IND_voed_gas_kWh/1000)*0.902</f>
        <v>510.10398261025222</v>
      </c>
      <c r="E10" s="33">
        <f>C32*'E Balans VL '!I20/100/3.6*1000000</f>
        <v>1.0760279692780246</v>
      </c>
      <c r="F10" s="33">
        <f>C32*'E Balans VL '!L20/100/3.6*1000000+C32*'E Balans VL '!N20/100/3.6*1000000</f>
        <v>32.339615214069084</v>
      </c>
      <c r="G10" s="34"/>
      <c r="H10" s="33"/>
      <c r="I10" s="33"/>
      <c r="J10" s="40">
        <f>C32*'E Balans VL '!D20/100/3.6*1000000+C32*'E Balans VL '!E20/100/3.6*1000000</f>
        <v>0</v>
      </c>
      <c r="K10" s="33"/>
      <c r="L10" s="33"/>
      <c r="M10" s="33"/>
      <c r="N10" s="33">
        <f>C32*'E Balans VL '!Y20/100/3.6*1000000</f>
        <v>35.100923723646865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434.31057142864302</v>
      </c>
      <c r="C13" s="33"/>
      <c r="D13" s="37">
        <f>IF( ISERROR(IND_papier_gas_kWh/1000),0,IND_papier_gas_kWh/1000)*0.902</f>
        <v>0</v>
      </c>
      <c r="E13" s="33">
        <f>C35*'E Balans VL '!I23/100/3.6*1000000</f>
        <v>0.6161873748006248</v>
      </c>
      <c r="F13" s="33">
        <f>C35*'E Balans VL '!L23/100/3.6*1000000+C35*'E Balans VL '!N23/100/3.6*1000000</f>
        <v>10.603154161615748</v>
      </c>
      <c r="G13" s="34"/>
      <c r="H13" s="33"/>
      <c r="I13" s="33"/>
      <c r="J13" s="40">
        <f>C35*'E Balans VL '!D23/100/3.6*1000000+C35*'E Balans VL '!E23/100/3.6*1000000</f>
        <v>6.7170207427560094E-2</v>
      </c>
      <c r="K13" s="33"/>
      <c r="L13" s="33"/>
      <c r="M13" s="33"/>
      <c r="N13" s="33">
        <f>C35*'E Balans VL '!Y23/100/3.6*1000000</f>
        <v>1262.4380227692545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1226.5984597597799</v>
      </c>
      <c r="C15" s="33"/>
      <c r="D15" s="37">
        <f>IF( ISERROR(IND_rest_gas_kWh/1000),0,IND_rest_gas_kWh/1000)*0.902</f>
        <v>910.71168055348369</v>
      </c>
      <c r="E15" s="33">
        <f>C37*'E Balans VL '!I15/100/3.6*1000000</f>
        <v>67.727788508312841</v>
      </c>
      <c r="F15" s="33">
        <f>C37*'E Balans VL '!L15/100/3.6*1000000+C37*'E Balans VL '!N15/100/3.6*1000000</f>
        <v>242.95244215956188</v>
      </c>
      <c r="G15" s="34"/>
      <c r="H15" s="33"/>
      <c r="I15" s="33"/>
      <c r="J15" s="40">
        <f>C37*'E Balans VL '!D15/100/3.6*1000000+C37*'E Balans VL '!E15/100/3.6*1000000</f>
        <v>4.3911991614002828</v>
      </c>
      <c r="K15" s="33"/>
      <c r="L15" s="33"/>
      <c r="M15" s="33"/>
      <c r="N15" s="33">
        <f>C37*'E Balans VL '!Y15/100/3.6*1000000</f>
        <v>275.14528794068497</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4297.213328172259</v>
      </c>
      <c r="C18" s="21">
        <f>C5+C16</f>
        <v>0</v>
      </c>
      <c r="D18" s="21">
        <f>MAX((D5+D16),0)</f>
        <v>2137.972337998794</v>
      </c>
      <c r="E18" s="21">
        <f>MAX((E5+E16),0)</f>
        <v>648.52978869110962</v>
      </c>
      <c r="F18" s="21">
        <f>MAX((F5+F16),0)</f>
        <v>1888.2130285951584</v>
      </c>
      <c r="G18" s="21"/>
      <c r="H18" s="21"/>
      <c r="I18" s="21"/>
      <c r="J18" s="21">
        <f>MAX((J5+J16),0)</f>
        <v>4.4583693688278432</v>
      </c>
      <c r="K18" s="21"/>
      <c r="L18" s="21">
        <f>MAX((L5+L16),0)</f>
        <v>0</v>
      </c>
      <c r="M18" s="21"/>
      <c r="N18" s="21">
        <f>MAX((N5+N16),0)</f>
        <v>2227.8518901915636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0.20418581541300848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877.43000741650076</v>
      </c>
      <c r="C22" s="23">
        <f ca="1">C18*C20</f>
        <v>0</v>
      </c>
      <c r="D22" s="23">
        <f>D18*D20</f>
        <v>431.87041227575645</v>
      </c>
      <c r="E22" s="23">
        <f>E18*E20</f>
        <v>147.2162620328819</v>
      </c>
      <c r="F22" s="23">
        <f>F18*F20</f>
        <v>504.15287863490732</v>
      </c>
      <c r="G22" s="23"/>
      <c r="H22" s="23"/>
      <c r="I22" s="23"/>
      <c r="J22" s="23">
        <f>J18*J20</f>
        <v>1.5782627565650564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151.342789386069</v>
      </c>
      <c r="C30" s="39">
        <f>IF(ISERROR(B30*3.6/1000000/'E Balans VL '!Z18*100),0,B30*3.6/1000000/'E Balans VL '!Z18*100)</f>
        <v>8.5769839428020619E-3</v>
      </c>
      <c r="D30" s="237" t="s">
        <v>754</v>
      </c>
    </row>
    <row r="31" spans="1:18">
      <c r="A31" s="6" t="s">
        <v>33</v>
      </c>
      <c r="B31" s="37">
        <f>IF( ISERROR(IND_ander_ele_kWh/1000),0,IND_ander_ele_kWh/1000)</f>
        <v>1976.3252122638701</v>
      </c>
      <c r="C31" s="39">
        <f>IF(ISERROR(B31*3.6/1000000/'E Balans VL '!Z19*100),0,B31*3.6/1000000/'E Balans VL '!Z19*100)</f>
        <v>8.9637882353333295E-2</v>
      </c>
      <c r="D31" s="237" t="s">
        <v>754</v>
      </c>
    </row>
    <row r="32" spans="1:18">
      <c r="A32" s="171" t="s">
        <v>41</v>
      </c>
      <c r="B32" s="37">
        <f>IF( ISERROR(IND_voed_ele_kWh/1000),0,IND_voed_ele_kWh/1000)</f>
        <v>508.63629533389701</v>
      </c>
      <c r="C32" s="39">
        <f>IF(ISERROR(B32*3.6/1000000/'E Balans VL '!Z20*100),0,B32*3.6/1000000/'E Balans VL '!Z20*100)</f>
        <v>1.5734429628495528E-2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434.31057142864302</v>
      </c>
      <c r="C35" s="39">
        <f>IF(ISERROR(B35*3.6/1000000/'E Balans VL '!Z22*100),0,B35*3.6/1000000/'E Balans VL '!Z22*100)</f>
        <v>7.8118921466242358E-2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1226.5984597597799</v>
      </c>
      <c r="C37" s="39">
        <f>IF(ISERROR(B37*3.6/1000000/'E Balans VL '!Z15*100),0,B37*3.6/1000000/'E Balans VL '!Z15*100)</f>
        <v>9.7222991997713178E-3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2566.2028583425731</v>
      </c>
      <c r="C5" s="17">
        <f>'Eigen informatie GS &amp; warmtenet'!B60</f>
        <v>0</v>
      </c>
      <c r="D5" s="30">
        <f>IF(ISERROR(SUM(LB_lb_gas_kWh,LB_rest_gas_kWh)/1000),0,SUM(LB_lb_gas_kWh,LB_rest_gas_kWh)/1000)*0.902</f>
        <v>1412.7645078654903</v>
      </c>
      <c r="E5" s="17">
        <f>B17*'E Balans VL '!I25/3.6*1000000/100</f>
        <v>75.428540094901507</v>
      </c>
      <c r="F5" s="17">
        <f>B17*('E Balans VL '!L25/3.6*1000000+'E Balans VL '!N25/3.6*1000000)/100</f>
        <v>10690.662437531177</v>
      </c>
      <c r="G5" s="18"/>
      <c r="H5" s="17"/>
      <c r="I5" s="17"/>
      <c r="J5" s="17">
        <f>('E Balans VL '!D25+'E Balans VL '!E25)/3.6*1000000*landbouw!B17/100</f>
        <v>371.78768433661992</v>
      </c>
      <c r="K5" s="17"/>
      <c r="L5" s="17">
        <f>L6*(-1)</f>
        <v>0</v>
      </c>
      <c r="M5" s="17"/>
      <c r="N5" s="17">
        <f>N6*(-1)</f>
        <v>124.71428571428569</v>
      </c>
      <c r="O5" s="17"/>
      <c r="P5" s="17"/>
      <c r="R5" s="32"/>
    </row>
    <row r="6" spans="1:18">
      <c r="A6" s="16" t="s">
        <v>488</v>
      </c>
      <c r="B6" s="17" t="s">
        <v>211</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2566.2028583425731</v>
      </c>
      <c r="C8" s="21">
        <f>C5+C6</f>
        <v>62.357142857142847</v>
      </c>
      <c r="D8" s="21">
        <f>MAX((D5+D6),0)</f>
        <v>1412.7645078654903</v>
      </c>
      <c r="E8" s="21">
        <f>MAX((E5+E6),0)</f>
        <v>75.428540094901507</v>
      </c>
      <c r="F8" s="21">
        <f>MAX((F5+F6),0)</f>
        <v>10690.662437531177</v>
      </c>
      <c r="G8" s="21"/>
      <c r="H8" s="21"/>
      <c r="I8" s="21"/>
      <c r="J8" s="21">
        <f>MAX((J5+J6),0)</f>
        <v>371.78768433661992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0.20418581541300848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523.98222314587133</v>
      </c>
      <c r="C12" s="23">
        <f ca="1">C8*C10</f>
        <v>0</v>
      </c>
      <c r="D12" s="23">
        <f>D8*D10</f>
        <v>285.37843058882908</v>
      </c>
      <c r="E12" s="23">
        <f>E8*E10</f>
        <v>17.122278601542643</v>
      </c>
      <c r="F12" s="23">
        <f>F8*F10</f>
        <v>2854.4068708208242</v>
      </c>
      <c r="G12" s="23"/>
      <c r="H12" s="23"/>
      <c r="I12" s="23"/>
      <c r="J12" s="23">
        <f>J8*J10</f>
        <v>131.61284025516343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0.36415223681474218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365.58394479974044</v>
      </c>
      <c r="C26" s="247">
        <f>B26*'GWP N2O_CH4'!B5</f>
        <v>7677.2628407945494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71.68168658046649</v>
      </c>
      <c r="C27" s="247">
        <f>B27*'GWP N2O_CH4'!B5</f>
        <v>1505.3154181897962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4.2678584085619846</v>
      </c>
      <c r="C28" s="247">
        <f>B28*'GWP N2O_CH4'!B4</f>
        <v>1323.0361066542152</v>
      </c>
      <c r="D28" s="50"/>
    </row>
    <row r="29" spans="1:4">
      <c r="A29" s="41" t="s">
        <v>277</v>
      </c>
      <c r="B29" s="247">
        <f>B34*'ha_N2O bodem landbouw'!B4</f>
        <v>14.739562280241859</v>
      </c>
      <c r="C29" s="247">
        <f>B29*'GWP N2O_CH4'!B4</f>
        <v>4569.2643068749767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3.3635173175598629E-3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1.2123947706170726E-4</v>
      </c>
      <c r="C5" s="463" t="s">
        <v>211</v>
      </c>
      <c r="D5" s="448">
        <f>SUM(D6:D11)</f>
        <v>5.3818269719516695E-4</v>
      </c>
      <c r="E5" s="448">
        <f>SUM(E6:E11)</f>
        <v>6.9497337263235421E-4</v>
      </c>
      <c r="F5" s="461" t="s">
        <v>211</v>
      </c>
      <c r="G5" s="448">
        <f>SUM(G6:G11)</f>
        <v>0.20271292307951638</v>
      </c>
      <c r="H5" s="448">
        <f>SUM(H6:H11)</f>
        <v>5.9941199424148051E-2</v>
      </c>
      <c r="I5" s="463" t="s">
        <v>211</v>
      </c>
      <c r="J5" s="463" t="s">
        <v>211</v>
      </c>
      <c r="K5" s="463" t="s">
        <v>211</v>
      </c>
      <c r="L5" s="463" t="s">
        <v>211</v>
      </c>
      <c r="M5" s="448">
        <f>SUM(M6:M11)</f>
        <v>1.361170923357417E-2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4.644738833314585E-5</v>
      </c>
      <c r="C6" s="449"/>
      <c r="D6" s="892">
        <f>vkm_2011_GW_PW*SUMIFS(TableVerdeelsleutelVkm[CNG],TableVerdeelsleutelVkm[Voertuigtype],"Lichte voertuigen")*SUMIFS(TableECFTransport[EnergieConsumptieFactor (PJ per km)],TableECFTransport[Index],CONCATENATE($A6,"_CNG_CNG"))</f>
        <v>1.3931550662340652E-4</v>
      </c>
      <c r="E6" s="892">
        <f>vkm_2011_GW_PW*SUMIFS(TableVerdeelsleutelVkm[LPG],TableVerdeelsleutelVkm[Voertuigtype],"Lichte voertuigen")*SUMIFS(TableECFTransport[EnergieConsumptieFactor (PJ per km)],TableECFTransport[Index],CONCATENATE($A6,"_LPG_LPG"))</f>
        <v>1.9032499373387873E-4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4.9209318746264046E-2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1.5845535839547186E-2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3.3424706924128581E-3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8.6392511875766111E-3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2.633068211497217E-6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5.0484869222290878E-4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7.4792088728561416E-5</v>
      </c>
      <c r="C8" s="449"/>
      <c r="D8" s="451">
        <f>vkm_2011_NGW_PW*SUMIFS(TableVerdeelsleutelVkm[CNG],TableVerdeelsleutelVkm[Voertuigtype],"Lichte voertuigen")*SUMIFS(TableECFTransport[EnergieConsumptieFactor (PJ per km)],TableECFTransport[Index],CONCATENATE($A8,"_CNG_CNG"))</f>
        <v>3.9886719057176043E-4</v>
      </c>
      <c r="E8" s="451">
        <f>vkm_2011_NGW_PW*SUMIFS(TableVerdeelsleutelVkm[LPG],TableVerdeelsleutelVkm[Voertuigtype],"Lichte voertuigen")*SUMIFS(TableECFTransport[EnergieConsumptieFactor (PJ per km)],TableECFTransport[Index],CONCATENATE($A8,"_LPG_LPG"))</f>
        <v>5.0464837889847543E-4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0.12159256380818864</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4.4086353287905944E-2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8.4044772489326389E-3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2.3271789337487084E-2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6.6772284834204073E-6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1.3599126000057656E-3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33.677632517140907</v>
      </c>
      <c r="C14" s="21"/>
      <c r="D14" s="21">
        <f t="shared" ref="D14:M14" si="0">((D5)*10^9/3600)+D12</f>
        <v>149.49519366532417</v>
      </c>
      <c r="E14" s="21">
        <f t="shared" si="0"/>
        <v>193.04815906454286</v>
      </c>
      <c r="F14" s="21"/>
      <c r="G14" s="21">
        <f t="shared" si="0"/>
        <v>56309.14529986566</v>
      </c>
      <c r="H14" s="21">
        <f t="shared" si="0"/>
        <v>16650.33317337446</v>
      </c>
      <c r="I14" s="21"/>
      <c r="J14" s="21"/>
      <c r="K14" s="21"/>
      <c r="L14" s="21"/>
      <c r="M14" s="21">
        <f t="shared" si="0"/>
        <v>3781.0303426594919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0.20418581541300848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6.8764948566920658</v>
      </c>
      <c r="C18" s="23"/>
      <c r="D18" s="23">
        <f t="shared" ref="D18:M18" si="1">D14*D16</f>
        <v>30.198029120395482</v>
      </c>
      <c r="E18" s="23">
        <f t="shared" si="1"/>
        <v>43.821932107651229</v>
      </c>
      <c r="F18" s="23"/>
      <c r="G18" s="23">
        <f t="shared" si="1"/>
        <v>15034.541795064131</v>
      </c>
      <c r="H18" s="23">
        <f t="shared" si="1"/>
        <v>4145.9329601702402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5.265481510286993E-3</v>
      </c>
      <c r="H50" s="321">
        <f t="shared" si="2"/>
        <v>0</v>
      </c>
      <c r="I50" s="321">
        <f t="shared" si="2"/>
        <v>0</v>
      </c>
      <c r="J50" s="321">
        <f t="shared" si="2"/>
        <v>0</v>
      </c>
      <c r="K50" s="321">
        <f t="shared" si="2"/>
        <v>0</v>
      </c>
      <c r="L50" s="321">
        <f t="shared" si="2"/>
        <v>0</v>
      </c>
      <c r="M50" s="321">
        <f t="shared" si="2"/>
        <v>2.9905610491397255E-4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5.265481510286993E-3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2.9905610491397255E-4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1462.6337528574982</v>
      </c>
      <c r="H54" s="21">
        <f t="shared" si="3"/>
        <v>0</v>
      </c>
      <c r="I54" s="21">
        <f t="shared" si="3"/>
        <v>0</v>
      </c>
      <c r="J54" s="21">
        <f t="shared" si="3"/>
        <v>0</v>
      </c>
      <c r="K54" s="21">
        <f t="shared" si="3"/>
        <v>0</v>
      </c>
      <c r="L54" s="21">
        <f t="shared" si="3"/>
        <v>0</v>
      </c>
      <c r="M54" s="21">
        <f t="shared" si="3"/>
        <v>83.071140253881268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0.20418581541300848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390.52321201295206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16182.305795458138</v>
      </c>
      <c r="D10" s="1013">
        <f ca="1">tertiair!C16</f>
        <v>0</v>
      </c>
      <c r="E10" s="1013">
        <f ca="1">tertiair!D16</f>
        <v>20283.939114862726</v>
      </c>
      <c r="F10" s="1013">
        <f>tertiair!E16</f>
        <v>247.93424792060625</v>
      </c>
      <c r="G10" s="1013">
        <f ca="1">tertiair!F16</f>
        <v>2781.1366111296929</v>
      </c>
      <c r="H10" s="1013">
        <f>tertiair!G16</f>
        <v>0</v>
      </c>
      <c r="I10" s="1013">
        <f>tertiair!H16</f>
        <v>0</v>
      </c>
      <c r="J10" s="1013">
        <f>tertiair!I16</f>
        <v>0</v>
      </c>
      <c r="K10" s="1013">
        <f>tertiair!J16</f>
        <v>4.9170897514442376E-2</v>
      </c>
      <c r="L10" s="1013">
        <f>tertiair!K16</f>
        <v>0</v>
      </c>
      <c r="M10" s="1013">
        <f ca="1">tertiair!L16</f>
        <v>0</v>
      </c>
      <c r="N10" s="1013">
        <f>tertiair!M16</f>
        <v>0</v>
      </c>
      <c r="O10" s="1013">
        <f ca="1">tertiair!N16</f>
        <v>1945.0169074253399</v>
      </c>
      <c r="P10" s="1013">
        <f>tertiair!O16</f>
        <v>3.1266666666666669</v>
      </c>
      <c r="Q10" s="1014">
        <f>tertiair!P16</f>
        <v>19.066666666666666</v>
      </c>
      <c r="R10" s="700">
        <f ca="1">SUM(C10:Q10)</f>
        <v>41462.575181027358</v>
      </c>
      <c r="S10" s="67"/>
    </row>
    <row r="11" spans="1:19" s="473" customFormat="1">
      <c r="A11" s="809" t="s">
        <v>225</v>
      </c>
      <c r="B11" s="814"/>
      <c r="C11" s="1013">
        <f>huishoudens!B8</f>
        <v>30989.361867486965</v>
      </c>
      <c r="D11" s="1013">
        <f>huishoudens!C8</f>
        <v>0</v>
      </c>
      <c r="E11" s="1013">
        <f>huishoudens!D8</f>
        <v>48857.297982377939</v>
      </c>
      <c r="F11" s="1013">
        <f>huishoudens!E8</f>
        <v>2222.1178764730689</v>
      </c>
      <c r="G11" s="1013">
        <f>huishoudens!F8</f>
        <v>30809.649932041699</v>
      </c>
      <c r="H11" s="1013">
        <f>huishoudens!G8</f>
        <v>0</v>
      </c>
      <c r="I11" s="1013">
        <f>huishoudens!H8</f>
        <v>0</v>
      </c>
      <c r="J11" s="1013">
        <f>huishoudens!I8</f>
        <v>0</v>
      </c>
      <c r="K11" s="1013">
        <f>huishoudens!J8</f>
        <v>0</v>
      </c>
      <c r="L11" s="1013">
        <f>huishoudens!K8</f>
        <v>0</v>
      </c>
      <c r="M11" s="1013">
        <f>huishoudens!L8</f>
        <v>0</v>
      </c>
      <c r="N11" s="1013">
        <f>huishoudens!M8</f>
        <v>0</v>
      </c>
      <c r="O11" s="1013">
        <f>huishoudens!N8</f>
        <v>7203.4494287435682</v>
      </c>
      <c r="P11" s="1013">
        <f>huishoudens!O8</f>
        <v>192.29000000000002</v>
      </c>
      <c r="Q11" s="1014">
        <f>huishoudens!P8</f>
        <v>1391.8666666666668</v>
      </c>
      <c r="R11" s="700">
        <f>SUM(C11:Q11)</f>
        <v>121666.03375378989</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4297.213328172259</v>
      </c>
      <c r="D13" s="1013">
        <f>industrie!C18</f>
        <v>0</v>
      </c>
      <c r="E13" s="1013">
        <f>industrie!D18</f>
        <v>2137.972337998794</v>
      </c>
      <c r="F13" s="1013">
        <f>industrie!E18</f>
        <v>648.52978869110962</v>
      </c>
      <c r="G13" s="1013">
        <f>industrie!F18</f>
        <v>1888.2130285951584</v>
      </c>
      <c r="H13" s="1013">
        <f>industrie!G18</f>
        <v>0</v>
      </c>
      <c r="I13" s="1013">
        <f>industrie!H18</f>
        <v>0</v>
      </c>
      <c r="J13" s="1013">
        <f>industrie!I18</f>
        <v>0</v>
      </c>
      <c r="K13" s="1013">
        <f>industrie!J18</f>
        <v>4.4583693688278432</v>
      </c>
      <c r="L13" s="1013">
        <f>industrie!K18</f>
        <v>0</v>
      </c>
      <c r="M13" s="1013">
        <f>industrie!L18</f>
        <v>0</v>
      </c>
      <c r="N13" s="1013">
        <f>industrie!M18</f>
        <v>0</v>
      </c>
      <c r="O13" s="1013">
        <f>industrie!N18</f>
        <v>2227.8518901915636</v>
      </c>
      <c r="P13" s="1013">
        <f>industrie!O18</f>
        <v>0</v>
      </c>
      <c r="Q13" s="1014">
        <f>industrie!P18</f>
        <v>0</v>
      </c>
      <c r="R13" s="700">
        <f>SUM(C13:Q13)</f>
        <v>11204.238743017711</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51468.880991117359</v>
      </c>
      <c r="D16" s="732">
        <f t="shared" ref="D16:R16" ca="1" si="0">SUM(D9:D15)</f>
        <v>0</v>
      </c>
      <c r="E16" s="732">
        <f t="shared" ca="1" si="0"/>
        <v>71279.209435239463</v>
      </c>
      <c r="F16" s="732">
        <f t="shared" si="0"/>
        <v>3118.5819130847849</v>
      </c>
      <c r="G16" s="732">
        <f t="shared" ca="1" si="0"/>
        <v>35478.999571766552</v>
      </c>
      <c r="H16" s="732">
        <f t="shared" si="0"/>
        <v>0</v>
      </c>
      <c r="I16" s="732">
        <f t="shared" si="0"/>
        <v>0</v>
      </c>
      <c r="J16" s="732">
        <f t="shared" si="0"/>
        <v>0</v>
      </c>
      <c r="K16" s="732">
        <f t="shared" si="0"/>
        <v>4.5075402663422857</v>
      </c>
      <c r="L16" s="732">
        <f t="shared" si="0"/>
        <v>0</v>
      </c>
      <c r="M16" s="732">
        <f t="shared" ca="1" si="0"/>
        <v>0</v>
      </c>
      <c r="N16" s="732">
        <f t="shared" si="0"/>
        <v>0</v>
      </c>
      <c r="O16" s="732">
        <f t="shared" ca="1" si="0"/>
        <v>11376.318226360472</v>
      </c>
      <c r="P16" s="732">
        <f t="shared" si="0"/>
        <v>195.41666666666669</v>
      </c>
      <c r="Q16" s="732">
        <f t="shared" si="0"/>
        <v>1410.9333333333334</v>
      </c>
      <c r="R16" s="732">
        <f t="shared" ca="1" si="0"/>
        <v>174332.84767783497</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1462.6337528574982</v>
      </c>
      <c r="I19" s="1013">
        <f>transport!H54</f>
        <v>0</v>
      </c>
      <c r="J19" s="1013">
        <f>transport!I54</f>
        <v>0</v>
      </c>
      <c r="K19" s="1013">
        <f>transport!J54</f>
        <v>0</v>
      </c>
      <c r="L19" s="1013">
        <f>transport!K54</f>
        <v>0</v>
      </c>
      <c r="M19" s="1013">
        <f>transport!L54</f>
        <v>0</v>
      </c>
      <c r="N19" s="1013">
        <f>transport!M54</f>
        <v>83.071140253881268</v>
      </c>
      <c r="O19" s="1013">
        <f>transport!N54</f>
        <v>0</v>
      </c>
      <c r="P19" s="1013">
        <f>transport!O54</f>
        <v>0</v>
      </c>
      <c r="Q19" s="1014">
        <f>transport!P54</f>
        <v>0</v>
      </c>
      <c r="R19" s="700">
        <f>SUM(C19:Q19)</f>
        <v>1545.7048931113795</v>
      </c>
      <c r="S19" s="67"/>
    </row>
    <row r="20" spans="1:19" s="473" customFormat="1">
      <c r="A20" s="809" t="s">
        <v>307</v>
      </c>
      <c r="B20" s="814"/>
      <c r="C20" s="1013">
        <f>transport!B14</f>
        <v>33.677632517140907</v>
      </c>
      <c r="D20" s="1013">
        <f>transport!C14</f>
        <v>0</v>
      </c>
      <c r="E20" s="1013">
        <f>transport!D14</f>
        <v>149.49519366532417</v>
      </c>
      <c r="F20" s="1013">
        <f>transport!E14</f>
        <v>193.04815906454286</v>
      </c>
      <c r="G20" s="1013">
        <f>transport!F14</f>
        <v>0</v>
      </c>
      <c r="H20" s="1013">
        <f>transport!G14</f>
        <v>56309.14529986566</v>
      </c>
      <c r="I20" s="1013">
        <f>transport!H14</f>
        <v>16650.33317337446</v>
      </c>
      <c r="J20" s="1013">
        <f>transport!I14</f>
        <v>0</v>
      </c>
      <c r="K20" s="1013">
        <f>transport!J14</f>
        <v>0</v>
      </c>
      <c r="L20" s="1013">
        <f>transport!K14</f>
        <v>0</v>
      </c>
      <c r="M20" s="1013">
        <f>transport!L14</f>
        <v>0</v>
      </c>
      <c r="N20" s="1013">
        <f>transport!M14</f>
        <v>3781.0303426594919</v>
      </c>
      <c r="O20" s="1013">
        <f>transport!N14</f>
        <v>0</v>
      </c>
      <c r="P20" s="1013">
        <f>transport!O14</f>
        <v>0</v>
      </c>
      <c r="Q20" s="1014">
        <f>transport!P14</f>
        <v>0</v>
      </c>
      <c r="R20" s="700">
        <f>SUM(C20:Q20)</f>
        <v>77116.729801146619</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33.677632517140907</v>
      </c>
      <c r="D22" s="812">
        <f t="shared" ref="D22:R22" si="1">SUM(D18:D21)</f>
        <v>0</v>
      </c>
      <c r="E22" s="812">
        <f t="shared" si="1"/>
        <v>149.49519366532417</v>
      </c>
      <c r="F22" s="812">
        <f t="shared" si="1"/>
        <v>193.04815906454286</v>
      </c>
      <c r="G22" s="812">
        <f t="shared" si="1"/>
        <v>0</v>
      </c>
      <c r="H22" s="812">
        <f t="shared" si="1"/>
        <v>57771.779052723155</v>
      </c>
      <c r="I22" s="812">
        <f t="shared" si="1"/>
        <v>16650.33317337446</v>
      </c>
      <c r="J22" s="812">
        <f t="shared" si="1"/>
        <v>0</v>
      </c>
      <c r="K22" s="812">
        <f t="shared" si="1"/>
        <v>0</v>
      </c>
      <c r="L22" s="812">
        <f t="shared" si="1"/>
        <v>0</v>
      </c>
      <c r="M22" s="812">
        <f t="shared" si="1"/>
        <v>0</v>
      </c>
      <c r="N22" s="812">
        <f t="shared" si="1"/>
        <v>3864.1014829133733</v>
      </c>
      <c r="O22" s="812">
        <f t="shared" si="1"/>
        <v>0</v>
      </c>
      <c r="P22" s="812">
        <f t="shared" si="1"/>
        <v>0</v>
      </c>
      <c r="Q22" s="812">
        <f t="shared" si="1"/>
        <v>0</v>
      </c>
      <c r="R22" s="812">
        <f t="shared" si="1"/>
        <v>78662.434694258001</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2566.2028583425731</v>
      </c>
      <c r="D24" s="1013">
        <f>+landbouw!C8</f>
        <v>62.357142857142847</v>
      </c>
      <c r="E24" s="1013">
        <f>+landbouw!D8</f>
        <v>1412.7645078654903</v>
      </c>
      <c r="F24" s="1013">
        <f>+landbouw!E8</f>
        <v>75.428540094901507</v>
      </c>
      <c r="G24" s="1013">
        <f>+landbouw!F8</f>
        <v>10690.662437531177</v>
      </c>
      <c r="H24" s="1013">
        <f>+landbouw!G8</f>
        <v>0</v>
      </c>
      <c r="I24" s="1013">
        <f>+landbouw!H8</f>
        <v>0</v>
      </c>
      <c r="J24" s="1013">
        <f>+landbouw!I8</f>
        <v>0</v>
      </c>
      <c r="K24" s="1013">
        <f>+landbouw!J8</f>
        <v>371.78768433661992</v>
      </c>
      <c r="L24" s="1013">
        <f>+landbouw!K8</f>
        <v>0</v>
      </c>
      <c r="M24" s="1013">
        <f>+landbouw!L8</f>
        <v>0</v>
      </c>
      <c r="N24" s="1013">
        <f>+landbouw!M8</f>
        <v>0</v>
      </c>
      <c r="O24" s="1013">
        <f>+landbouw!N8</f>
        <v>0</v>
      </c>
      <c r="P24" s="1013">
        <f>+landbouw!O8</f>
        <v>0</v>
      </c>
      <c r="Q24" s="1014">
        <f>+landbouw!P8</f>
        <v>0</v>
      </c>
      <c r="R24" s="700">
        <f>SUM(C24:Q24)</f>
        <v>15179.203171027902</v>
      </c>
      <c r="S24" s="67"/>
    </row>
    <row r="25" spans="1:19" s="473" customFormat="1" ht="15" thickBot="1">
      <c r="A25" s="831" t="s">
        <v>836</v>
      </c>
      <c r="B25" s="1016"/>
      <c r="C25" s="1017">
        <f>IF(Onbekend_ele_kWh="---",0,Onbekend_ele_kWh)/1000+IF(REST_rest_ele_kWh="---",0,REST_rest_ele_kWh)/1000</f>
        <v>1182.6518250035699</v>
      </c>
      <c r="D25" s="1017"/>
      <c r="E25" s="1017">
        <f>IF(onbekend_gas_kWh="---",0,onbekend_gas_kWh)/1000+IF(REST_rest_gas_kWh="---",0,REST_rest_gas_kWh)/1000</f>
        <v>2017.9982945143001</v>
      </c>
      <c r="F25" s="1017"/>
      <c r="G25" s="1017"/>
      <c r="H25" s="1017"/>
      <c r="I25" s="1017"/>
      <c r="J25" s="1017"/>
      <c r="K25" s="1017"/>
      <c r="L25" s="1017"/>
      <c r="M25" s="1017"/>
      <c r="N25" s="1017"/>
      <c r="O25" s="1017"/>
      <c r="P25" s="1017"/>
      <c r="Q25" s="1018"/>
      <c r="R25" s="700">
        <f>SUM(C25:Q25)</f>
        <v>3200.6501195178698</v>
      </c>
      <c r="S25" s="67"/>
    </row>
    <row r="26" spans="1:19" s="473" customFormat="1" ht="15.75" thickBot="1">
      <c r="A26" s="705" t="s">
        <v>837</v>
      </c>
      <c r="B26" s="817"/>
      <c r="C26" s="812">
        <f>SUM(C24:C25)</f>
        <v>3748.8546833461432</v>
      </c>
      <c r="D26" s="812">
        <f t="shared" ref="D26:R26" si="2">SUM(D24:D25)</f>
        <v>62.357142857142847</v>
      </c>
      <c r="E26" s="812">
        <f t="shared" si="2"/>
        <v>3430.7628023797906</v>
      </c>
      <c r="F26" s="812">
        <f t="shared" si="2"/>
        <v>75.428540094901507</v>
      </c>
      <c r="G26" s="812">
        <f t="shared" si="2"/>
        <v>10690.662437531177</v>
      </c>
      <c r="H26" s="812">
        <f t="shared" si="2"/>
        <v>0</v>
      </c>
      <c r="I26" s="812">
        <f t="shared" si="2"/>
        <v>0</v>
      </c>
      <c r="J26" s="812">
        <f t="shared" si="2"/>
        <v>0</v>
      </c>
      <c r="K26" s="812">
        <f t="shared" si="2"/>
        <v>371.78768433661992</v>
      </c>
      <c r="L26" s="812">
        <f t="shared" si="2"/>
        <v>0</v>
      </c>
      <c r="M26" s="812">
        <f t="shared" si="2"/>
        <v>0</v>
      </c>
      <c r="N26" s="812">
        <f t="shared" si="2"/>
        <v>0</v>
      </c>
      <c r="O26" s="812">
        <f t="shared" si="2"/>
        <v>0</v>
      </c>
      <c r="P26" s="812">
        <f t="shared" si="2"/>
        <v>0</v>
      </c>
      <c r="Q26" s="812">
        <f t="shared" si="2"/>
        <v>0</v>
      </c>
      <c r="R26" s="812">
        <f t="shared" si="2"/>
        <v>18379.853290545772</v>
      </c>
      <c r="S26" s="67"/>
    </row>
    <row r="27" spans="1:19" s="473" customFormat="1" ht="17.25" thickTop="1" thickBot="1">
      <c r="A27" s="706" t="s">
        <v>116</v>
      </c>
      <c r="B27" s="805"/>
      <c r="C27" s="707">
        <f ca="1">C22+C16+C26</f>
        <v>55251.413306980641</v>
      </c>
      <c r="D27" s="707">
        <f t="shared" ref="D27:R27" ca="1" si="3">D22+D16+D26</f>
        <v>62.357142857142847</v>
      </c>
      <c r="E27" s="707">
        <f t="shared" ca="1" si="3"/>
        <v>74859.467431284575</v>
      </c>
      <c r="F27" s="707">
        <f t="shared" si="3"/>
        <v>3387.0586122442292</v>
      </c>
      <c r="G27" s="707">
        <f t="shared" ca="1" si="3"/>
        <v>46169.662009297725</v>
      </c>
      <c r="H27" s="707">
        <f t="shared" si="3"/>
        <v>57771.779052723155</v>
      </c>
      <c r="I27" s="707">
        <f t="shared" si="3"/>
        <v>16650.33317337446</v>
      </c>
      <c r="J27" s="707">
        <f t="shared" si="3"/>
        <v>0</v>
      </c>
      <c r="K27" s="707">
        <f t="shared" si="3"/>
        <v>376.29522460296221</v>
      </c>
      <c r="L27" s="707">
        <f t="shared" si="3"/>
        <v>0</v>
      </c>
      <c r="M27" s="707">
        <f t="shared" ca="1" si="3"/>
        <v>0</v>
      </c>
      <c r="N27" s="707">
        <f t="shared" si="3"/>
        <v>3864.1014829133733</v>
      </c>
      <c r="O27" s="707">
        <f t="shared" ca="1" si="3"/>
        <v>11376.318226360472</v>
      </c>
      <c r="P27" s="707">
        <f t="shared" si="3"/>
        <v>195.41666666666669</v>
      </c>
      <c r="Q27" s="707">
        <f t="shared" si="3"/>
        <v>1410.9333333333334</v>
      </c>
      <c r="R27" s="707">
        <f t="shared" ca="1" si="3"/>
        <v>271375.13566263876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3304.1973041082729</v>
      </c>
      <c r="D40" s="1013">
        <f ca="1">tertiair!C20</f>
        <v>0</v>
      </c>
      <c r="E40" s="1013">
        <f ca="1">tertiair!D20</f>
        <v>4097.3557012022711</v>
      </c>
      <c r="F40" s="1013">
        <f>tertiair!E20</f>
        <v>56.281074277977623</v>
      </c>
      <c r="G40" s="1013">
        <f ca="1">tertiair!F20</f>
        <v>742.56347517162806</v>
      </c>
      <c r="H40" s="1013">
        <f>tertiair!G20</f>
        <v>0</v>
      </c>
      <c r="I40" s="1013">
        <f>tertiair!H20</f>
        <v>0</v>
      </c>
      <c r="J40" s="1013">
        <f>tertiair!I20</f>
        <v>0</v>
      </c>
      <c r="K40" s="1013">
        <f>tertiair!J20</f>
        <v>1.7406497720112601E-2</v>
      </c>
      <c r="L40" s="1013">
        <f>tertiair!K20</f>
        <v>0</v>
      </c>
      <c r="M40" s="1013">
        <f ca="1">tertiair!L20</f>
        <v>0</v>
      </c>
      <c r="N40" s="1013">
        <f>tertiair!M20</f>
        <v>0</v>
      </c>
      <c r="O40" s="1013">
        <f ca="1">tertiair!N20</f>
        <v>0</v>
      </c>
      <c r="P40" s="1013">
        <f>tertiair!O20</f>
        <v>0</v>
      </c>
      <c r="Q40" s="774">
        <f>tertiair!P20</f>
        <v>0</v>
      </c>
      <c r="R40" s="850">
        <f t="shared" ca="1" si="4"/>
        <v>8200.4149612578694</v>
      </c>
    </row>
    <row r="41" spans="1:18">
      <c r="A41" s="822" t="s">
        <v>225</v>
      </c>
      <c r="B41" s="829"/>
      <c r="C41" s="1013">
        <f ca="1">huishoudens!B12</f>
        <v>6327.5881220416168</v>
      </c>
      <c r="D41" s="1013">
        <f ca="1">huishoudens!C12</f>
        <v>0</v>
      </c>
      <c r="E41" s="1013">
        <f>huishoudens!D12</f>
        <v>9869.174192440345</v>
      </c>
      <c r="F41" s="1013">
        <f>huishoudens!E12</f>
        <v>504.42075795938666</v>
      </c>
      <c r="G41" s="1013">
        <f>huishoudens!F12</f>
        <v>8226.1765318551334</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24927.359604296482</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877.43000741650076</v>
      </c>
      <c r="D43" s="1013">
        <f ca="1">industrie!C22</f>
        <v>0</v>
      </c>
      <c r="E43" s="1013">
        <f>industrie!D22</f>
        <v>431.87041227575645</v>
      </c>
      <c r="F43" s="1013">
        <f>industrie!E22</f>
        <v>147.2162620328819</v>
      </c>
      <c r="G43" s="1013">
        <f>industrie!F22</f>
        <v>504.15287863490732</v>
      </c>
      <c r="H43" s="1013">
        <f>industrie!G22</f>
        <v>0</v>
      </c>
      <c r="I43" s="1013">
        <f>industrie!H22</f>
        <v>0</v>
      </c>
      <c r="J43" s="1013">
        <f>industrie!I22</f>
        <v>0</v>
      </c>
      <c r="K43" s="1013">
        <f>industrie!J22</f>
        <v>1.5782627565650564</v>
      </c>
      <c r="L43" s="1013">
        <f>industrie!K22</f>
        <v>0</v>
      </c>
      <c r="M43" s="1013">
        <f>industrie!L22</f>
        <v>0</v>
      </c>
      <c r="N43" s="1013">
        <f>industrie!M22</f>
        <v>0</v>
      </c>
      <c r="O43" s="1013">
        <f>industrie!N22</f>
        <v>0</v>
      </c>
      <c r="P43" s="1013">
        <f>industrie!O22</f>
        <v>0</v>
      </c>
      <c r="Q43" s="774">
        <f>industrie!P22</f>
        <v>0</v>
      </c>
      <c r="R43" s="849">
        <f t="shared" ca="1" si="4"/>
        <v>1962.2478231166115</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10509.215433566391</v>
      </c>
      <c r="D46" s="732">
        <f t="shared" ref="D46:Q46" ca="1" si="5">SUM(D39:D45)</f>
        <v>0</v>
      </c>
      <c r="E46" s="732">
        <f t="shared" ca="1" si="5"/>
        <v>14398.400305918372</v>
      </c>
      <c r="F46" s="732">
        <f t="shared" si="5"/>
        <v>707.91809427024623</v>
      </c>
      <c r="G46" s="732">
        <f t="shared" ca="1" si="5"/>
        <v>9472.8928856616694</v>
      </c>
      <c r="H46" s="732">
        <f t="shared" si="5"/>
        <v>0</v>
      </c>
      <c r="I46" s="732">
        <f t="shared" si="5"/>
        <v>0</v>
      </c>
      <c r="J46" s="732">
        <f t="shared" si="5"/>
        <v>0</v>
      </c>
      <c r="K46" s="732">
        <f t="shared" si="5"/>
        <v>1.5956692542851689</v>
      </c>
      <c r="L46" s="732">
        <f t="shared" si="5"/>
        <v>0</v>
      </c>
      <c r="M46" s="732">
        <f t="shared" ca="1" si="5"/>
        <v>0</v>
      </c>
      <c r="N46" s="732">
        <f t="shared" si="5"/>
        <v>0</v>
      </c>
      <c r="O46" s="732">
        <f t="shared" ca="1" si="5"/>
        <v>0</v>
      </c>
      <c r="P46" s="732">
        <f t="shared" si="5"/>
        <v>0</v>
      </c>
      <c r="Q46" s="732">
        <f t="shared" si="5"/>
        <v>0</v>
      </c>
      <c r="R46" s="732">
        <f ca="1">SUM(R39:R45)</f>
        <v>35090.022388670965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390.52321201295206</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390.52321201295206</v>
      </c>
    </row>
    <row r="50" spans="1:18">
      <c r="A50" s="825" t="s">
        <v>307</v>
      </c>
      <c r="B50" s="835"/>
      <c r="C50" s="703">
        <f ca="1">transport!B18</f>
        <v>6.8764948566920658</v>
      </c>
      <c r="D50" s="703">
        <f>transport!C18</f>
        <v>0</v>
      </c>
      <c r="E50" s="703">
        <f>transport!D18</f>
        <v>30.198029120395482</v>
      </c>
      <c r="F50" s="703">
        <f>transport!E18</f>
        <v>43.821932107651229</v>
      </c>
      <c r="G50" s="703">
        <f>transport!F18</f>
        <v>0</v>
      </c>
      <c r="H50" s="703">
        <f>transport!G18</f>
        <v>15034.541795064131</v>
      </c>
      <c r="I50" s="703">
        <f>transport!H18</f>
        <v>4145.9329601702402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19261.37121131911</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6.8764948566920658</v>
      </c>
      <c r="D52" s="732">
        <f t="shared" ref="D52:Q52" ca="1" si="6">SUM(D48:D51)</f>
        <v>0</v>
      </c>
      <c r="E52" s="732">
        <f t="shared" si="6"/>
        <v>30.198029120395482</v>
      </c>
      <c r="F52" s="732">
        <f t="shared" si="6"/>
        <v>43.821932107651229</v>
      </c>
      <c r="G52" s="732">
        <f t="shared" si="6"/>
        <v>0</v>
      </c>
      <c r="H52" s="732">
        <f t="shared" si="6"/>
        <v>15425.065007077083</v>
      </c>
      <c r="I52" s="732">
        <f t="shared" si="6"/>
        <v>4145.9329601702402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19651.894423332062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523.98222314587133</v>
      </c>
      <c r="D54" s="703">
        <f ca="1">+landbouw!C12</f>
        <v>0</v>
      </c>
      <c r="E54" s="703">
        <f>+landbouw!D12</f>
        <v>285.37843058882908</v>
      </c>
      <c r="F54" s="703">
        <f>+landbouw!E12</f>
        <v>17.122278601542643</v>
      </c>
      <c r="G54" s="703">
        <f>+landbouw!F12</f>
        <v>2854.4068708208242</v>
      </c>
      <c r="H54" s="703">
        <f>+landbouw!G12</f>
        <v>0</v>
      </c>
      <c r="I54" s="703">
        <f>+landbouw!H12</f>
        <v>0</v>
      </c>
      <c r="J54" s="703">
        <f>+landbouw!I12</f>
        <v>0</v>
      </c>
      <c r="K54" s="703">
        <f>+landbouw!J12</f>
        <v>131.61284025516343</v>
      </c>
      <c r="L54" s="703">
        <f>+landbouw!K12</f>
        <v>0</v>
      </c>
      <c r="M54" s="703">
        <f>+landbouw!L12</f>
        <v>0</v>
      </c>
      <c r="N54" s="703">
        <f>+landbouw!M12</f>
        <v>0</v>
      </c>
      <c r="O54" s="703">
        <f>+landbouw!N12</f>
        <v>0</v>
      </c>
      <c r="P54" s="703">
        <f>+landbouw!O12</f>
        <v>0</v>
      </c>
      <c r="Q54" s="704">
        <f>+landbouw!P12</f>
        <v>0</v>
      </c>
      <c r="R54" s="731">
        <f ca="1">SUM(C54:Q54)</f>
        <v>3812.502643412231</v>
      </c>
    </row>
    <row r="55" spans="1:18" ht="15" thickBot="1">
      <c r="A55" s="825" t="s">
        <v>836</v>
      </c>
      <c r="B55" s="835"/>
      <c r="C55" s="703">
        <f ca="1">C25*'EF ele_warmte'!B12</f>
        <v>241.48072723803654</v>
      </c>
      <c r="D55" s="703"/>
      <c r="E55" s="703">
        <f>E25*EF_CO2_aardgas</f>
        <v>407.63565549188866</v>
      </c>
      <c r="F55" s="703"/>
      <c r="G55" s="703"/>
      <c r="H55" s="703"/>
      <c r="I55" s="703"/>
      <c r="J55" s="703"/>
      <c r="K55" s="703"/>
      <c r="L55" s="703"/>
      <c r="M55" s="703"/>
      <c r="N55" s="703"/>
      <c r="O55" s="703"/>
      <c r="P55" s="703"/>
      <c r="Q55" s="704"/>
      <c r="R55" s="731">
        <f ca="1">SUM(C55:Q55)</f>
        <v>649.11638272992514</v>
      </c>
    </row>
    <row r="56" spans="1:18" ht="15.75" thickBot="1">
      <c r="A56" s="823" t="s">
        <v>837</v>
      </c>
      <c r="B56" s="836"/>
      <c r="C56" s="732">
        <f ca="1">SUM(C54:C55)</f>
        <v>765.46295038390781</v>
      </c>
      <c r="D56" s="732">
        <f t="shared" ref="D56:Q56" ca="1" si="7">SUM(D54:D55)</f>
        <v>0</v>
      </c>
      <c r="E56" s="732">
        <f t="shared" si="7"/>
        <v>693.01408608071779</v>
      </c>
      <c r="F56" s="732">
        <f t="shared" si="7"/>
        <v>17.122278601542643</v>
      </c>
      <c r="G56" s="732">
        <f t="shared" si="7"/>
        <v>2854.4068708208242</v>
      </c>
      <c r="H56" s="732">
        <f t="shared" si="7"/>
        <v>0</v>
      </c>
      <c r="I56" s="732">
        <f t="shared" si="7"/>
        <v>0</v>
      </c>
      <c r="J56" s="732">
        <f t="shared" si="7"/>
        <v>0</v>
      </c>
      <c r="K56" s="732">
        <f t="shared" si="7"/>
        <v>131.61284025516343</v>
      </c>
      <c r="L56" s="732">
        <f t="shared" si="7"/>
        <v>0</v>
      </c>
      <c r="M56" s="732">
        <f t="shared" si="7"/>
        <v>0</v>
      </c>
      <c r="N56" s="732">
        <f t="shared" si="7"/>
        <v>0</v>
      </c>
      <c r="O56" s="732">
        <f t="shared" si="7"/>
        <v>0</v>
      </c>
      <c r="P56" s="732">
        <f t="shared" si="7"/>
        <v>0</v>
      </c>
      <c r="Q56" s="733">
        <f t="shared" si="7"/>
        <v>0</v>
      </c>
      <c r="R56" s="734">
        <f ca="1">SUM(R54:R55)</f>
        <v>4461.6190261421561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11281.55487880699</v>
      </c>
      <c r="D61" s="740">
        <f t="shared" ref="D61:Q61" ca="1" si="8">D46+D52+D56</f>
        <v>0</v>
      </c>
      <c r="E61" s="740">
        <f t="shared" ca="1" si="8"/>
        <v>15121.612421119487</v>
      </c>
      <c r="F61" s="740">
        <f t="shared" si="8"/>
        <v>768.86230497944018</v>
      </c>
      <c r="G61" s="740">
        <f t="shared" ca="1" si="8"/>
        <v>12327.299756482495</v>
      </c>
      <c r="H61" s="740">
        <f t="shared" si="8"/>
        <v>15425.065007077083</v>
      </c>
      <c r="I61" s="740">
        <f t="shared" si="8"/>
        <v>4145.9329601702402</v>
      </c>
      <c r="J61" s="740">
        <f t="shared" si="8"/>
        <v>0</v>
      </c>
      <c r="K61" s="740">
        <f t="shared" si="8"/>
        <v>133.20850950944859</v>
      </c>
      <c r="L61" s="740">
        <f t="shared" si="8"/>
        <v>0</v>
      </c>
      <c r="M61" s="740">
        <f t="shared" ca="1" si="8"/>
        <v>0</v>
      </c>
      <c r="N61" s="740">
        <f t="shared" si="8"/>
        <v>0</v>
      </c>
      <c r="O61" s="740">
        <f t="shared" ca="1" si="8"/>
        <v>0</v>
      </c>
      <c r="P61" s="740">
        <f t="shared" si="8"/>
        <v>0</v>
      </c>
      <c r="Q61" s="740">
        <f t="shared" si="8"/>
        <v>0</v>
      </c>
      <c r="R61" s="740">
        <f ca="1">R46+R52+R56</f>
        <v>59203.535838145181</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0.20418581541300848</v>
      </c>
      <c r="D63" s="781">
        <f t="shared" ca="1" si="9"/>
        <v>0</v>
      </c>
      <c r="E63" s="1024">
        <f t="shared" ca="1" si="9"/>
        <v>0.20200000000000004</v>
      </c>
      <c r="F63" s="781">
        <f t="shared" si="9"/>
        <v>0.22700000000000004</v>
      </c>
      <c r="G63" s="781">
        <f t="shared" ca="1" si="9"/>
        <v>0.26700000000000007</v>
      </c>
      <c r="H63" s="781">
        <f t="shared" si="9"/>
        <v>0.26700000000000002</v>
      </c>
      <c r="I63" s="781">
        <f t="shared" si="9"/>
        <v>0.24899999999999997</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4160.0036743698274</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43.649999999999991</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51.35294117647058</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4203.6536743698271</v>
      </c>
      <c r="C78" s="755">
        <f>SUM(C72:C77)</f>
        <v>0</v>
      </c>
      <c r="D78" s="756">
        <f t="shared" ref="D78:H78" si="10">SUM(D76:D77)</f>
        <v>0</v>
      </c>
      <c r="E78" s="756">
        <f t="shared" si="10"/>
        <v>0</v>
      </c>
      <c r="F78" s="756">
        <f t="shared" si="10"/>
        <v>0</v>
      </c>
      <c r="G78" s="756">
        <f t="shared" si="10"/>
        <v>0</v>
      </c>
      <c r="H78" s="756">
        <f t="shared" si="10"/>
        <v>0</v>
      </c>
      <c r="I78" s="756">
        <f>SUM(I76:I77)</f>
        <v>0</v>
      </c>
      <c r="J78" s="756">
        <f>SUM(J76:J77)</f>
        <v>51.35294117647058</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62.357142857142847</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73.361344537815114</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62.357142857142847</v>
      </c>
      <c r="C90" s="755">
        <f>SUM(C87:C89)</f>
        <v>0</v>
      </c>
      <c r="D90" s="755">
        <f t="shared" ref="D90:H90" si="12">SUM(D87:D89)</f>
        <v>0</v>
      </c>
      <c r="E90" s="755">
        <f t="shared" si="12"/>
        <v>0</v>
      </c>
      <c r="F90" s="755">
        <f t="shared" si="12"/>
        <v>0</v>
      </c>
      <c r="G90" s="755">
        <f t="shared" si="12"/>
        <v>0</v>
      </c>
      <c r="H90" s="755">
        <f t="shared" si="12"/>
        <v>0</v>
      </c>
      <c r="I90" s="755">
        <f>SUM(I87:I89)</f>
        <v>0</v>
      </c>
      <c r="J90" s="755">
        <f>SUM(J87:J89)</f>
        <v>73.361344537815114</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4160.0036743698274</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43.649999999999991</v>
      </c>
      <c r="C8" s="570">
        <f>B101</f>
        <v>0</v>
      </c>
      <c r="D8" s="1044"/>
      <c r="E8" s="1044">
        <f>E101</f>
        <v>0</v>
      </c>
      <c r="F8" s="1045"/>
      <c r="G8" s="571"/>
      <c r="H8" s="1044">
        <f>I101</f>
        <v>0</v>
      </c>
      <c r="I8" s="1044">
        <f>G101+F101</f>
        <v>0</v>
      </c>
      <c r="J8" s="1044">
        <f>H101+D101+C101</f>
        <v>51.35294117647058</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4203.6536743698271</v>
      </c>
      <c r="C10" s="583">
        <f t="shared" ref="C10:L10" si="0">SUM(C8:C9)</f>
        <v>0</v>
      </c>
      <c r="D10" s="583">
        <f t="shared" si="0"/>
        <v>0</v>
      </c>
      <c r="E10" s="583">
        <f t="shared" si="0"/>
        <v>0</v>
      </c>
      <c r="F10" s="583">
        <f t="shared" si="0"/>
        <v>0</v>
      </c>
      <c r="G10" s="583">
        <f t="shared" si="0"/>
        <v>0</v>
      </c>
      <c r="H10" s="583">
        <f t="shared" si="0"/>
        <v>0</v>
      </c>
      <c r="I10" s="583">
        <f t="shared" si="0"/>
        <v>0</v>
      </c>
      <c r="J10" s="583">
        <f t="shared" si="0"/>
        <v>51.35294117647058</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62.357142857142847</v>
      </c>
      <c r="C17" s="595">
        <f>B102</f>
        <v>0</v>
      </c>
      <c r="D17" s="596"/>
      <c r="E17" s="596">
        <f>E102</f>
        <v>0</v>
      </c>
      <c r="F17" s="1050"/>
      <c r="G17" s="597"/>
      <c r="H17" s="595">
        <f>I102</f>
        <v>0</v>
      </c>
      <c r="I17" s="596">
        <f>G102+F102</f>
        <v>0</v>
      </c>
      <c r="J17" s="596">
        <f>H102+D102+C102</f>
        <v>73.361344537815114</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62.357142857142847</v>
      </c>
      <c r="C20" s="582">
        <f>SUM(C17:C19)</f>
        <v>0</v>
      </c>
      <c r="D20" s="582">
        <f t="shared" ref="D20:L20" si="1">SUM(D17:D19)</f>
        <v>0</v>
      </c>
      <c r="E20" s="582">
        <f t="shared" si="1"/>
        <v>0</v>
      </c>
      <c r="F20" s="582">
        <f t="shared" si="1"/>
        <v>0</v>
      </c>
      <c r="G20" s="582">
        <f t="shared" si="1"/>
        <v>0</v>
      </c>
      <c r="H20" s="582">
        <f t="shared" si="1"/>
        <v>0</v>
      </c>
      <c r="I20" s="582">
        <f t="shared" si="1"/>
        <v>0</v>
      </c>
      <c r="J20" s="582">
        <f t="shared" si="1"/>
        <v>73.361344537815114</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23052</v>
      </c>
      <c r="C28" s="796">
        <v>1785</v>
      </c>
      <c r="D28" s="653" t="s">
        <v>881</v>
      </c>
      <c r="E28" s="652" t="s">
        <v>882</v>
      </c>
      <c r="F28" s="652" t="s">
        <v>883</v>
      </c>
      <c r="G28" s="652" t="s">
        <v>884</v>
      </c>
      <c r="H28" s="652" t="s">
        <v>885</v>
      </c>
      <c r="I28" s="652" t="s">
        <v>886</v>
      </c>
      <c r="J28" s="795">
        <v>41256</v>
      </c>
      <c r="K28" s="795">
        <v>41256</v>
      </c>
      <c r="L28" s="652" t="s">
        <v>887</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9.6999999999999993</v>
      </c>
      <c r="N58" s="610">
        <f>SUM(N28:N57)</f>
        <v>43.649999999999991</v>
      </c>
      <c r="O58" s="610">
        <f t="shared" ref="O58:W58" si="2">SUM(O28:O57)</f>
        <v>62.357142857142847</v>
      </c>
      <c r="P58" s="610">
        <f t="shared" si="2"/>
        <v>0</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43.649999999999991</v>
      </c>
      <c r="O61" s="615">
        <f t="shared" si="4"/>
        <v>62.357142857142847</v>
      </c>
      <c r="P61" s="615">
        <f t="shared" si="4"/>
        <v>0</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51.35294117647058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73.361344537815114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30989.361867486965</v>
      </c>
      <c r="C4" s="477">
        <f>huishoudens!C8</f>
        <v>0</v>
      </c>
      <c r="D4" s="477">
        <f>huishoudens!D8</f>
        <v>48857.297982377939</v>
      </c>
      <c r="E4" s="477">
        <f>huishoudens!E8</f>
        <v>2222.1178764730689</v>
      </c>
      <c r="F4" s="477">
        <f>huishoudens!F8</f>
        <v>30809.649932041699</v>
      </c>
      <c r="G4" s="477">
        <f>huishoudens!G8</f>
        <v>0</v>
      </c>
      <c r="H4" s="477">
        <f>huishoudens!H8</f>
        <v>0</v>
      </c>
      <c r="I4" s="477">
        <f>huishoudens!I8</f>
        <v>0</v>
      </c>
      <c r="J4" s="477">
        <f>huishoudens!J8</f>
        <v>0</v>
      </c>
      <c r="K4" s="477">
        <f>huishoudens!K8</f>
        <v>0</v>
      </c>
      <c r="L4" s="477">
        <f>huishoudens!L8</f>
        <v>0</v>
      </c>
      <c r="M4" s="477">
        <f>huishoudens!M8</f>
        <v>0</v>
      </c>
      <c r="N4" s="477">
        <f>huishoudens!N8</f>
        <v>7203.4494287435682</v>
      </c>
      <c r="O4" s="477">
        <f>huishoudens!O8</f>
        <v>192.29000000000002</v>
      </c>
      <c r="P4" s="478">
        <f>huishoudens!P8</f>
        <v>1391.8666666666668</v>
      </c>
      <c r="Q4" s="479">
        <f>SUM(B4:P4)</f>
        <v>121666.03375378989</v>
      </c>
    </row>
    <row r="5" spans="1:17">
      <c r="A5" s="476" t="s">
        <v>156</v>
      </c>
      <c r="B5" s="477">
        <f ca="1">tertiair!B16</f>
        <v>15325.738795458139</v>
      </c>
      <c r="C5" s="477">
        <f ca="1">tertiair!C16</f>
        <v>0</v>
      </c>
      <c r="D5" s="477">
        <f ca="1">tertiair!D16</f>
        <v>20283.939114862726</v>
      </c>
      <c r="E5" s="477">
        <f>tertiair!E16</f>
        <v>247.93424792060625</v>
      </c>
      <c r="F5" s="477">
        <f ca="1">tertiair!F16</f>
        <v>2781.1366111296929</v>
      </c>
      <c r="G5" s="477">
        <f>tertiair!G16</f>
        <v>0</v>
      </c>
      <c r="H5" s="477">
        <f>tertiair!H16</f>
        <v>0</v>
      </c>
      <c r="I5" s="477">
        <f>tertiair!I16</f>
        <v>0</v>
      </c>
      <c r="J5" s="477">
        <f>tertiair!J16</f>
        <v>4.9170897514442376E-2</v>
      </c>
      <c r="K5" s="477">
        <f>tertiair!K16</f>
        <v>0</v>
      </c>
      <c r="L5" s="477">
        <f ca="1">tertiair!L16</f>
        <v>0</v>
      </c>
      <c r="M5" s="477">
        <f>tertiair!M16</f>
        <v>0</v>
      </c>
      <c r="N5" s="477">
        <f ca="1">tertiair!N16</f>
        <v>1945.0169074253399</v>
      </c>
      <c r="O5" s="477">
        <f>tertiair!O16</f>
        <v>3.1266666666666669</v>
      </c>
      <c r="P5" s="478">
        <f>tertiair!P16</f>
        <v>19.066666666666666</v>
      </c>
      <c r="Q5" s="476">
        <f t="shared" ref="Q5:Q14" ca="1" si="0">SUM(B5:P5)</f>
        <v>40606.008181027362</v>
      </c>
    </row>
    <row r="6" spans="1:17">
      <c r="A6" s="476" t="s">
        <v>194</v>
      </c>
      <c r="B6" s="477">
        <f>'openbare verlichting'!B8</f>
        <v>856.56700000000001</v>
      </c>
      <c r="C6" s="477"/>
      <c r="D6" s="477"/>
      <c r="E6" s="477"/>
      <c r="F6" s="477"/>
      <c r="G6" s="477"/>
      <c r="H6" s="477"/>
      <c r="I6" s="477"/>
      <c r="J6" s="477"/>
      <c r="K6" s="477"/>
      <c r="L6" s="477"/>
      <c r="M6" s="477"/>
      <c r="N6" s="477"/>
      <c r="O6" s="477"/>
      <c r="P6" s="478"/>
      <c r="Q6" s="476">
        <f t="shared" si="0"/>
        <v>856.56700000000001</v>
      </c>
    </row>
    <row r="7" spans="1:17">
      <c r="A7" s="476" t="s">
        <v>112</v>
      </c>
      <c r="B7" s="477">
        <f>landbouw!B8</f>
        <v>2566.2028583425731</v>
      </c>
      <c r="C7" s="477">
        <f>landbouw!C8</f>
        <v>62.357142857142847</v>
      </c>
      <c r="D7" s="477">
        <f>landbouw!D8</f>
        <v>1412.7645078654903</v>
      </c>
      <c r="E7" s="477">
        <f>landbouw!E8</f>
        <v>75.428540094901507</v>
      </c>
      <c r="F7" s="477">
        <f>landbouw!F8</f>
        <v>10690.662437531177</v>
      </c>
      <c r="G7" s="477">
        <f>landbouw!G8</f>
        <v>0</v>
      </c>
      <c r="H7" s="477">
        <f>landbouw!H8</f>
        <v>0</v>
      </c>
      <c r="I7" s="477">
        <f>landbouw!I8</f>
        <v>0</v>
      </c>
      <c r="J7" s="477">
        <f>landbouw!J8</f>
        <v>371.78768433661992</v>
      </c>
      <c r="K7" s="477">
        <f>landbouw!K8</f>
        <v>0</v>
      </c>
      <c r="L7" s="477">
        <f>landbouw!L8</f>
        <v>0</v>
      </c>
      <c r="M7" s="477">
        <f>landbouw!M8</f>
        <v>0</v>
      </c>
      <c r="N7" s="477">
        <f>landbouw!N8</f>
        <v>0</v>
      </c>
      <c r="O7" s="477">
        <f>landbouw!O8</f>
        <v>0</v>
      </c>
      <c r="P7" s="478">
        <f>landbouw!P8</f>
        <v>0</v>
      </c>
      <c r="Q7" s="476">
        <f t="shared" si="0"/>
        <v>15179.203171027902</v>
      </c>
    </row>
    <row r="8" spans="1:17">
      <c r="A8" s="476" t="s">
        <v>635</v>
      </c>
      <c r="B8" s="477">
        <f>industrie!B18</f>
        <v>4297.213328172259</v>
      </c>
      <c r="C8" s="477">
        <f>industrie!C18</f>
        <v>0</v>
      </c>
      <c r="D8" s="477">
        <f>industrie!D18</f>
        <v>2137.972337998794</v>
      </c>
      <c r="E8" s="477">
        <f>industrie!E18</f>
        <v>648.52978869110962</v>
      </c>
      <c r="F8" s="477">
        <f>industrie!F18</f>
        <v>1888.2130285951584</v>
      </c>
      <c r="G8" s="477">
        <f>industrie!G18</f>
        <v>0</v>
      </c>
      <c r="H8" s="477">
        <f>industrie!H18</f>
        <v>0</v>
      </c>
      <c r="I8" s="477">
        <f>industrie!I18</f>
        <v>0</v>
      </c>
      <c r="J8" s="477">
        <f>industrie!J18</f>
        <v>4.4583693688278432</v>
      </c>
      <c r="K8" s="477">
        <f>industrie!K18</f>
        <v>0</v>
      </c>
      <c r="L8" s="477">
        <f>industrie!L18</f>
        <v>0</v>
      </c>
      <c r="M8" s="477">
        <f>industrie!M18</f>
        <v>0</v>
      </c>
      <c r="N8" s="477">
        <f>industrie!N18</f>
        <v>2227.8518901915636</v>
      </c>
      <c r="O8" s="477">
        <f>industrie!O18</f>
        <v>0</v>
      </c>
      <c r="P8" s="478">
        <f>industrie!P18</f>
        <v>0</v>
      </c>
      <c r="Q8" s="476">
        <f t="shared" si="0"/>
        <v>11204.238743017711</v>
      </c>
    </row>
    <row r="9" spans="1:17" s="482" customFormat="1">
      <c r="A9" s="480" t="s">
        <v>561</v>
      </c>
      <c r="B9" s="481">
        <f>transport!B14</f>
        <v>33.677632517140907</v>
      </c>
      <c r="C9" s="481">
        <f>transport!C14</f>
        <v>0</v>
      </c>
      <c r="D9" s="481">
        <f>transport!D14</f>
        <v>149.49519366532417</v>
      </c>
      <c r="E9" s="481">
        <f>transport!E14</f>
        <v>193.04815906454286</v>
      </c>
      <c r="F9" s="481">
        <f>transport!F14</f>
        <v>0</v>
      </c>
      <c r="G9" s="481">
        <f>transport!G14</f>
        <v>56309.14529986566</v>
      </c>
      <c r="H9" s="481">
        <f>transport!H14</f>
        <v>16650.33317337446</v>
      </c>
      <c r="I9" s="481">
        <f>transport!I14</f>
        <v>0</v>
      </c>
      <c r="J9" s="481">
        <f>transport!J14</f>
        <v>0</v>
      </c>
      <c r="K9" s="481">
        <f>transport!K14</f>
        <v>0</v>
      </c>
      <c r="L9" s="481">
        <f>transport!L14</f>
        <v>0</v>
      </c>
      <c r="M9" s="481">
        <f>transport!M14</f>
        <v>3781.0303426594919</v>
      </c>
      <c r="N9" s="481">
        <f>transport!N14</f>
        <v>0</v>
      </c>
      <c r="O9" s="481">
        <f>transport!O14</f>
        <v>0</v>
      </c>
      <c r="P9" s="481">
        <f>transport!P14</f>
        <v>0</v>
      </c>
      <c r="Q9" s="480">
        <f>SUM(B9:P9)</f>
        <v>77116.729801146619</v>
      </c>
    </row>
    <row r="10" spans="1:17">
      <c r="A10" s="476" t="s">
        <v>551</v>
      </c>
      <c r="B10" s="477">
        <f>transport!B54</f>
        <v>0</v>
      </c>
      <c r="C10" s="477">
        <f>transport!C54</f>
        <v>0</v>
      </c>
      <c r="D10" s="477">
        <f>transport!D54</f>
        <v>0</v>
      </c>
      <c r="E10" s="477">
        <f>transport!E54</f>
        <v>0</v>
      </c>
      <c r="F10" s="477">
        <f>transport!F54</f>
        <v>0</v>
      </c>
      <c r="G10" s="477">
        <f>transport!G54</f>
        <v>1462.6337528574982</v>
      </c>
      <c r="H10" s="477">
        <f>transport!H54</f>
        <v>0</v>
      </c>
      <c r="I10" s="477">
        <f>transport!I54</f>
        <v>0</v>
      </c>
      <c r="J10" s="477">
        <f>transport!J54</f>
        <v>0</v>
      </c>
      <c r="K10" s="477">
        <f>transport!K54</f>
        <v>0</v>
      </c>
      <c r="L10" s="477">
        <f>transport!L54</f>
        <v>0</v>
      </c>
      <c r="M10" s="477">
        <f>transport!M54</f>
        <v>83.071140253881268</v>
      </c>
      <c r="N10" s="477">
        <f>transport!N54</f>
        <v>0</v>
      </c>
      <c r="O10" s="477">
        <f>transport!O54</f>
        <v>0</v>
      </c>
      <c r="P10" s="478">
        <f>transport!P54</f>
        <v>0</v>
      </c>
      <c r="Q10" s="476">
        <f t="shared" si="0"/>
        <v>1545.7048931113795</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1182.6518250035699</v>
      </c>
      <c r="C14" s="484"/>
      <c r="D14" s="484">
        <f>'SEAP template'!E25</f>
        <v>2017.9982945143001</v>
      </c>
      <c r="E14" s="484"/>
      <c r="F14" s="484"/>
      <c r="G14" s="484"/>
      <c r="H14" s="484"/>
      <c r="I14" s="484"/>
      <c r="J14" s="484"/>
      <c r="K14" s="484"/>
      <c r="L14" s="484"/>
      <c r="M14" s="484"/>
      <c r="N14" s="484"/>
      <c r="O14" s="484"/>
      <c r="P14" s="485"/>
      <c r="Q14" s="476">
        <f t="shared" si="0"/>
        <v>3200.6501195178698</v>
      </c>
    </row>
    <row r="15" spans="1:17" s="486" customFormat="1">
      <c r="A15" s="1039" t="s">
        <v>555</v>
      </c>
      <c r="B15" s="987">
        <f ca="1">SUM(B4:B14)</f>
        <v>55251.413306980641</v>
      </c>
      <c r="C15" s="987">
        <f t="shared" ref="C15:Q15" ca="1" si="1">SUM(C4:C14)</f>
        <v>62.357142857142847</v>
      </c>
      <c r="D15" s="987">
        <f t="shared" ca="1" si="1"/>
        <v>74859.467431284575</v>
      </c>
      <c r="E15" s="987">
        <f t="shared" si="1"/>
        <v>3387.0586122442287</v>
      </c>
      <c r="F15" s="987">
        <f t="shared" ca="1" si="1"/>
        <v>46169.662009297725</v>
      </c>
      <c r="G15" s="987">
        <f t="shared" si="1"/>
        <v>57771.779052723155</v>
      </c>
      <c r="H15" s="987">
        <f t="shared" si="1"/>
        <v>16650.33317337446</v>
      </c>
      <c r="I15" s="987">
        <f t="shared" si="1"/>
        <v>0</v>
      </c>
      <c r="J15" s="987">
        <f t="shared" si="1"/>
        <v>376.29522460296221</v>
      </c>
      <c r="K15" s="987">
        <f t="shared" si="1"/>
        <v>0</v>
      </c>
      <c r="L15" s="987">
        <f t="shared" ca="1" si="1"/>
        <v>0</v>
      </c>
      <c r="M15" s="987">
        <f t="shared" si="1"/>
        <v>3864.1014829133733</v>
      </c>
      <c r="N15" s="987">
        <f t="shared" ca="1" si="1"/>
        <v>11376.318226360472</v>
      </c>
      <c r="O15" s="987">
        <f t="shared" si="1"/>
        <v>195.41666666666669</v>
      </c>
      <c r="P15" s="987">
        <f t="shared" si="1"/>
        <v>1410.9333333333334</v>
      </c>
      <c r="Q15" s="987">
        <f t="shared" ca="1" si="1"/>
        <v>271375.13566263876</v>
      </c>
    </row>
    <row r="17" spans="1:17">
      <c r="A17" s="487" t="s">
        <v>556</v>
      </c>
      <c r="B17" s="786">
        <f ca="1">huishoudens!B10</f>
        <v>0.20418581541300848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6327.5881220416168</v>
      </c>
      <c r="C22" s="477">
        <f t="shared" ref="C22:C32" ca="1" si="3">C4*$C$17</f>
        <v>0</v>
      </c>
      <c r="D22" s="477">
        <f t="shared" ref="D22:D32" si="4">D4*$D$17</f>
        <v>9869.174192440345</v>
      </c>
      <c r="E22" s="477">
        <f t="shared" ref="E22:E32" si="5">E4*$E$17</f>
        <v>504.42075795938666</v>
      </c>
      <c r="F22" s="477">
        <f t="shared" ref="F22:F32" si="6">F4*$F$17</f>
        <v>8226.1765318551334</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24927.359604296482</v>
      </c>
    </row>
    <row r="23" spans="1:17">
      <c r="A23" s="476" t="s">
        <v>156</v>
      </c>
      <c r="B23" s="477">
        <f t="shared" ca="1" si="2"/>
        <v>3129.2984727573985</v>
      </c>
      <c r="C23" s="477">
        <f t="shared" ca="1" si="3"/>
        <v>0</v>
      </c>
      <c r="D23" s="477">
        <f t="shared" ca="1" si="4"/>
        <v>4097.3557012022711</v>
      </c>
      <c r="E23" s="477">
        <f t="shared" si="5"/>
        <v>56.281074277977623</v>
      </c>
      <c r="F23" s="477">
        <f t="shared" ca="1" si="6"/>
        <v>742.56347517162806</v>
      </c>
      <c r="G23" s="477">
        <f t="shared" si="7"/>
        <v>0</v>
      </c>
      <c r="H23" s="477">
        <f t="shared" si="8"/>
        <v>0</v>
      </c>
      <c r="I23" s="477">
        <f t="shared" si="9"/>
        <v>0</v>
      </c>
      <c r="J23" s="477">
        <f t="shared" si="10"/>
        <v>1.7406497720112601E-2</v>
      </c>
      <c r="K23" s="477">
        <f t="shared" si="11"/>
        <v>0</v>
      </c>
      <c r="L23" s="477">
        <f t="shared" ca="1" si="12"/>
        <v>0</v>
      </c>
      <c r="M23" s="477">
        <f t="shared" si="13"/>
        <v>0</v>
      </c>
      <c r="N23" s="477">
        <f t="shared" ca="1" si="14"/>
        <v>0</v>
      </c>
      <c r="O23" s="477">
        <f t="shared" si="15"/>
        <v>0</v>
      </c>
      <c r="P23" s="478">
        <f t="shared" si="16"/>
        <v>0</v>
      </c>
      <c r="Q23" s="476">
        <f t="shared" ref="Q23:Q32" ca="1" si="17">SUM(B23:P23)</f>
        <v>8025.516129906995</v>
      </c>
    </row>
    <row r="24" spans="1:17">
      <c r="A24" s="476" t="s">
        <v>194</v>
      </c>
      <c r="B24" s="477">
        <f t="shared" ca="1" si="2"/>
        <v>174.89883135087445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174.89883135087445</v>
      </c>
    </row>
    <row r="25" spans="1:17">
      <c r="A25" s="476" t="s">
        <v>112</v>
      </c>
      <c r="B25" s="477">
        <f t="shared" ca="1" si="2"/>
        <v>523.98222314587133</v>
      </c>
      <c r="C25" s="477">
        <f t="shared" ca="1" si="3"/>
        <v>0</v>
      </c>
      <c r="D25" s="477">
        <f t="shared" si="4"/>
        <v>285.37843058882908</v>
      </c>
      <c r="E25" s="477">
        <f t="shared" si="5"/>
        <v>17.122278601542643</v>
      </c>
      <c r="F25" s="477">
        <f t="shared" si="6"/>
        <v>2854.4068708208242</v>
      </c>
      <c r="G25" s="477">
        <f t="shared" si="7"/>
        <v>0</v>
      </c>
      <c r="H25" s="477">
        <f t="shared" si="8"/>
        <v>0</v>
      </c>
      <c r="I25" s="477">
        <f t="shared" si="9"/>
        <v>0</v>
      </c>
      <c r="J25" s="477">
        <f t="shared" si="10"/>
        <v>131.61284025516343</v>
      </c>
      <c r="K25" s="477">
        <f t="shared" si="11"/>
        <v>0</v>
      </c>
      <c r="L25" s="477">
        <f t="shared" si="12"/>
        <v>0</v>
      </c>
      <c r="M25" s="477">
        <f t="shared" si="13"/>
        <v>0</v>
      </c>
      <c r="N25" s="477">
        <f t="shared" si="14"/>
        <v>0</v>
      </c>
      <c r="O25" s="477">
        <f t="shared" si="15"/>
        <v>0</v>
      </c>
      <c r="P25" s="478">
        <f t="shared" si="16"/>
        <v>0</v>
      </c>
      <c r="Q25" s="476">
        <f t="shared" ca="1" si="17"/>
        <v>3812.502643412231</v>
      </c>
    </row>
    <row r="26" spans="1:17">
      <c r="A26" s="476" t="s">
        <v>635</v>
      </c>
      <c r="B26" s="477">
        <f t="shared" ca="1" si="2"/>
        <v>877.43000741650076</v>
      </c>
      <c r="C26" s="477">
        <f t="shared" ca="1" si="3"/>
        <v>0</v>
      </c>
      <c r="D26" s="477">
        <f t="shared" si="4"/>
        <v>431.87041227575645</v>
      </c>
      <c r="E26" s="477">
        <f t="shared" si="5"/>
        <v>147.2162620328819</v>
      </c>
      <c r="F26" s="477">
        <f t="shared" si="6"/>
        <v>504.15287863490732</v>
      </c>
      <c r="G26" s="477">
        <f t="shared" si="7"/>
        <v>0</v>
      </c>
      <c r="H26" s="477">
        <f t="shared" si="8"/>
        <v>0</v>
      </c>
      <c r="I26" s="477">
        <f t="shared" si="9"/>
        <v>0</v>
      </c>
      <c r="J26" s="477">
        <f t="shared" si="10"/>
        <v>1.5782627565650564</v>
      </c>
      <c r="K26" s="477">
        <f t="shared" si="11"/>
        <v>0</v>
      </c>
      <c r="L26" s="477">
        <f t="shared" si="12"/>
        <v>0</v>
      </c>
      <c r="M26" s="477">
        <f t="shared" si="13"/>
        <v>0</v>
      </c>
      <c r="N26" s="477">
        <f t="shared" si="14"/>
        <v>0</v>
      </c>
      <c r="O26" s="477">
        <f t="shared" si="15"/>
        <v>0</v>
      </c>
      <c r="P26" s="478">
        <f t="shared" si="16"/>
        <v>0</v>
      </c>
      <c r="Q26" s="476">
        <f t="shared" ca="1" si="17"/>
        <v>1962.2478231166115</v>
      </c>
    </row>
    <row r="27" spans="1:17" s="482" customFormat="1">
      <c r="A27" s="480" t="s">
        <v>561</v>
      </c>
      <c r="B27" s="780">
        <f t="shared" ca="1" si="2"/>
        <v>6.8764948566920658</v>
      </c>
      <c r="C27" s="481">
        <f t="shared" ca="1" si="3"/>
        <v>0</v>
      </c>
      <c r="D27" s="481">
        <f t="shared" si="4"/>
        <v>30.198029120395482</v>
      </c>
      <c r="E27" s="481">
        <f t="shared" si="5"/>
        <v>43.821932107651229</v>
      </c>
      <c r="F27" s="481">
        <f t="shared" si="6"/>
        <v>0</v>
      </c>
      <c r="G27" s="481">
        <f t="shared" si="7"/>
        <v>15034.541795064131</v>
      </c>
      <c r="H27" s="481">
        <f t="shared" si="8"/>
        <v>4145.9329601702402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19261.37121131911</v>
      </c>
    </row>
    <row r="28" spans="1:17">
      <c r="A28" s="476" t="s">
        <v>551</v>
      </c>
      <c r="B28" s="477">
        <f t="shared" ca="1" si="2"/>
        <v>0</v>
      </c>
      <c r="C28" s="477">
        <f t="shared" ca="1" si="3"/>
        <v>0</v>
      </c>
      <c r="D28" s="477">
        <f t="shared" si="4"/>
        <v>0</v>
      </c>
      <c r="E28" s="477">
        <f t="shared" si="5"/>
        <v>0</v>
      </c>
      <c r="F28" s="477">
        <f t="shared" si="6"/>
        <v>0</v>
      </c>
      <c r="G28" s="477">
        <f t="shared" si="7"/>
        <v>390.52321201295206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390.52321201295206</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241.48072723803654</v>
      </c>
      <c r="C32" s="477">
        <f t="shared" ca="1" si="3"/>
        <v>0</v>
      </c>
      <c r="D32" s="477">
        <f t="shared" si="4"/>
        <v>407.63565549188866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649.11638272992514</v>
      </c>
    </row>
    <row r="33" spans="1:17" s="486" customFormat="1">
      <c r="A33" s="1039" t="s">
        <v>555</v>
      </c>
      <c r="B33" s="987">
        <f ca="1">SUM(B22:B32)</f>
        <v>11281.55487880699</v>
      </c>
      <c r="C33" s="987">
        <f t="shared" ref="C33:Q33" ca="1" si="18">SUM(C22:C32)</f>
        <v>0</v>
      </c>
      <c r="D33" s="987">
        <f t="shared" ca="1" si="18"/>
        <v>15121.612421119487</v>
      </c>
      <c r="E33" s="987">
        <f t="shared" si="18"/>
        <v>768.86230497944018</v>
      </c>
      <c r="F33" s="987">
        <f t="shared" ca="1" si="18"/>
        <v>12327.299756482495</v>
      </c>
      <c r="G33" s="987">
        <f t="shared" si="18"/>
        <v>15425.065007077083</v>
      </c>
      <c r="H33" s="987">
        <f t="shared" si="18"/>
        <v>4145.9329601702402</v>
      </c>
      <c r="I33" s="987">
        <f t="shared" si="18"/>
        <v>0</v>
      </c>
      <c r="J33" s="987">
        <f t="shared" si="18"/>
        <v>133.20850950944862</v>
      </c>
      <c r="K33" s="987">
        <f t="shared" si="18"/>
        <v>0</v>
      </c>
      <c r="L33" s="987">
        <f t="shared" ca="1" si="18"/>
        <v>0</v>
      </c>
      <c r="M33" s="987">
        <f t="shared" si="18"/>
        <v>0</v>
      </c>
      <c r="N33" s="987">
        <f t="shared" ca="1" si="18"/>
        <v>0</v>
      </c>
      <c r="O33" s="987">
        <f t="shared" si="18"/>
        <v>0</v>
      </c>
      <c r="P33" s="987">
        <f t="shared" si="18"/>
        <v>0</v>
      </c>
      <c r="Q33" s="987">
        <f t="shared" ca="1" si="18"/>
        <v>59203.535838145188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4160.0036743698274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43.649999999999991</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51.35294117647058</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4203.6536743698271</v>
      </c>
      <c r="C10" s="1060">
        <f>SUM(C4:C9)</f>
        <v>0</v>
      </c>
      <c r="D10" s="1060">
        <f t="shared" ref="D10:H10" si="0">SUM(D8:D9)</f>
        <v>0</v>
      </c>
      <c r="E10" s="1060">
        <f t="shared" si="0"/>
        <v>0</v>
      </c>
      <c r="F10" s="1060">
        <f t="shared" si="0"/>
        <v>0</v>
      </c>
      <c r="G10" s="1060">
        <f t="shared" si="0"/>
        <v>0</v>
      </c>
      <c r="H10" s="1060">
        <f t="shared" si="0"/>
        <v>0</v>
      </c>
      <c r="I10" s="1060">
        <f>SUM(I8:I9)</f>
        <v>0</v>
      </c>
      <c r="J10" s="1060">
        <f>SUM(J8:J9)</f>
        <v>51.35294117647058</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0.20418581541300848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62.357142857142847</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73.361344537815114</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62.357142857142847</v>
      </c>
      <c r="C20" s="1060">
        <f>SUM(C17:C19)</f>
        <v>0</v>
      </c>
      <c r="D20" s="1060">
        <f t="shared" ref="D20:H20" si="2">SUM(D17:D19)</f>
        <v>0</v>
      </c>
      <c r="E20" s="1060">
        <f t="shared" si="2"/>
        <v>0</v>
      </c>
      <c r="F20" s="1060">
        <f t="shared" si="2"/>
        <v>0</v>
      </c>
      <c r="G20" s="1060">
        <f t="shared" si="2"/>
        <v>0</v>
      </c>
      <c r="H20" s="1060">
        <f t="shared" si="2"/>
        <v>0</v>
      </c>
      <c r="I20" s="1060">
        <f>SUM(I17:I19)</f>
        <v>0</v>
      </c>
      <c r="J20" s="1060">
        <f>SUM(J17:J19)</f>
        <v>73.361344537815114</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0.20418581541300848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2019-08-12T08:32:20Z</dcterms:modified>
</cp:coreProperties>
</file>