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<sst xmlns="http://schemas.openxmlformats.org/spreadsheetml/2006/main" count="2392" uniqueCount="887">
  <si>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</si>
  <si>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</si>
  <si>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</si>
  <si>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</si>
  <si>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</si>
  <si>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</si>
  <si>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</si>
  <si>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</si>
  <si>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</si>
  <si>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</si>
  <si>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</si>
  <si>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</si>
  <si>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</si>
  <si>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</si>
  <si>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</si>
  <si>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</si>
  <si>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</si>
  <si>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</si>
  <si>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</si>
  <si>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</si>
  <si>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</si>
  <si>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</si>
  <si>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</si>
  <si>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</si>
  <si>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</si>
  <si>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</si>
  <si>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</si>
  <si>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</si>
  <si>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</si>
  <si>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</si>
  <si>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</si>
  <si>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</si>
  <si>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</si>
  <si>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</si>
  <si>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</si>
  <si>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</si>
  <si>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</si>
  <si>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</si>
  <si>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</si>
  <si>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</si>
  <si>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</si>
  <si>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</si>
  <si>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</si>
  <si>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</si>
  <si>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</si>
  <si>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</si>
  <si>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</si>
  <si>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</si>
  <si>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</si>
  <si>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</si>
  <si>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</si>
  <si>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</si>
  <si>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</si>
  <si>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</si>
  <si>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</si>
  <si>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</si>
  <si>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</si>
  <si>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</si>
  <si>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</si>
  <si>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</si>
  <si>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</si>
  <si>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</si>
  <si>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</si>
  <si>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</si>
  <si>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</si>
  <si>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</si>
  <si>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</si>
  <si>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</si>
  <si>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</si>
  <si>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</si>
  <si>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</si>
  <si>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</si>
  <si>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</si>
  <si>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</si>
  <si>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</si>
  <si>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</si>
  <si>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</si>
  <si>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</si>
  <si>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</si>
  <si>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</si>
  <si>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</si>
  <si>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</si>
  <si>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</si>
  <si>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</si>
  <si>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</si>
  <si>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</si>
  <si>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</si>
  <si>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</si>
  <si>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</si>
  <si>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</si>
  <si>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</si>
  <si>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</si>
  <si>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</si>
  <si>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</si>
  <si>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</si>
  <si>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</si>
  <si>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</si>
  <si>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</si>
  <si>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</si>
  <si>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</si>
  <si>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</si>
  <si>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</si>
  <si>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</si>
  <si>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</si>
  <si>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</si>
  <si>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</si>
  <si>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</si>
  <si>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</si>
  <si>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</si>
  <si>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</si>
  <si>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</si>
  <si>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</si>
  <si>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</si>
  <si>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</si>
  <si>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</si>
  <si>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</si>
  <si>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</si>
  <si>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</si>
  <si>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</si>
  <si>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</si>
  <si>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</si>
  <si>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</si>
  <si>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</si>
  <si>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</si>
  <si>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</si>
  <si>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</si>
  <si>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</si>
  <si>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</si>
  <si>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</si>
  <si>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</si>
  <si>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</si>
  <si>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</si>
  <si>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</si>
  <si>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</si>
  <si>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</si>
  <si>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</si>
  <si>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</si>
  <si>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</si>
  <si>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</si>
  <si>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</si>
  <si>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</si>
  <si>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</si>
  <si>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</si>
  <si>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</si>
  <si>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</si>
  <si>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</si>
  <si>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</si>
  <si>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</si>
  <si>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</si>
  <si>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</si>
  <si>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</si>
  <si>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</si>
  <si>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</si>
  <si>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</si>
  <si>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</si>
  <si>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</si>
  <si>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</si>
  <si>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</si>
  <si>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</si>
  <si>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</si>
  <si>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</si>
  <si>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</si>
  <si>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</si>
  <si>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</si>
  <si>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</si>
  <si>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</si>
  <si>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</si>
  <si>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</si>
  <si>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</si>
  <si>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</si>
  <si>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</si>
  <si>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</si>
  <si>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</si>
  <si>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</si>
  <si>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</si>
  <si>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</si>
  <si>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</si>
  <si>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</si>
  <si>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</si>
  <si>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</si>
  <si>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</si>
  <si>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</si>
  <si>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</si>
  <si>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</si>
  <si>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</si>
  <si>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</si>
  <si>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</si>
  <si>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</si>
  <si>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</si>
  <si>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</si>
  <si>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</si>
  <si>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</si>
  <si>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</si>
  <si>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</si>
  <si>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</si>
  <si>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</si>
  <si>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</si>
  <si>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</si>
  <si>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</si>
  <si>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</si>
  <si>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</si>
  <si>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</si>
  <si>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</si>
  <si>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</si>
  <si>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</si>
  <si>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</si>
  <si>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</si>
  <si>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</si>
  <si>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</si>
  <si>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</si>
  <si>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</si>
  <si>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</si>
  <si>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</si>
  <si>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</si>
  <si>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</si>
  <si>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</si>
  <si>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</si>
  <si>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</si>
  <si>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</si>
  <si>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</si>
  <si>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</si>
  <si>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</si>
  <si>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</si>
  <si>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</si>
  <si>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</si>
  <si>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</si>
  <si>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</si>
  <si>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</si>
  <si>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</si>
  <si>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</si>
  <si>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</si>
  <si>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</si>
  <si>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</si>
  <si>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</si>
  <si>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</si>
  <si>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</si>
  <si>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</si>
  <si>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</si>
  <si>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</si>
  <si>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</si>
  <si>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</si>
  <si>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</si>
  <si>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</si>
  <si>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</si>
  <si>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</si>
  <si>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</si>
  <si>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</si>
  <si>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</si>
  <si>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</si>
  <si>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</si>
  <si>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</si>
  <si>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</si>
  <si>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</si>
  <si>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</si>
  <si>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</si>
  <si>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</si>
  <si>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</si>
  <si>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</si>
  <si>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</si>
  <si>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</si>
  <si>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</si>
  <si>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</si>
  <si>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</si>
  <si>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</si>
  <si>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</si>
  <si>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</si>
  <si>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</si>
  <si>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</si>
  <si>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</si>
  <si>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</si>
  <si>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</si>
  <si>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</si>
  <si>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</si>
  <si>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</si>
  <si>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</si>
  <si>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</si>
  <si>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</si>
  <si>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</si>
  <si>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</si>
  <si>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</si>
  <si>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</si>
  <si>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</si>
  <si>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</si>
  <si>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</si>
  <si>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</si>
  <si>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</si>
  <si>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</si>
  <si>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</si>
  <si>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</si>
  <si>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</si>
  <si>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</si>
  <si>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</si>
  <si>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</si>
  <si>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</si>
  <si>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</si>
  <si>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</si>
  <si>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</si>
  <si>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</si>
  <si>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</si>
  <si>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</si>
  <si>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</si>
  <si>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</si>
  <si>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</si>
  <si>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</si>
  <si>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</si>
  <si>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</si>
  <si>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</si>
  <si>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</si>
  <si>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</si>
  <si>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</si>
  <si>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</si>
  <si>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</si>
  <si>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</si>
  <si>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</si>
  <si>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</si>
  <si>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</si>
  <si>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</si>
  <si>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</si>
  <si>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</si>
  <si>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</si>
  <si>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</si>
  <si>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</si>
  <si>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</si>
  <si>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</si>
  <si>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</si>
  <si>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</si>
  <si>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</si>
  <si>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</si>
  <si>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</si>
  <si>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</si>
  <si>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</si>
  <si>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</si>
  <si>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</si>
  <si>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</si>
  <si>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</si>
  <si>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</si>
  <si>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</si>
  <si>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</si>
  <si>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</si>
  <si>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</si>
  <si>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</si>
  <si>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</si>
  <si>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</si>
  <si>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</si>
  <si>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</si>
  <si>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</si>
  <si>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</si>
  <si>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</si>
  <si>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</si>
  <si>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</si>
  <si>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</si>
  <si>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</si>
  <si>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</si>
  <si>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</si>
  <si>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</si>
  <si>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</si>
  <si>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</si>
  <si>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</si>
  <si>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</si>
  <si>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</si>
  <si>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</si>
  <si>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</si>
  <si>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</si>
  <si>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</si>
  <si>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</si>
  <si>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</si>
  <si>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</si>
  <si>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</si>
  <si>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</si>
  <si>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</si>
  <si>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</si>
  <si>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</si>
  <si>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</si>
  <si>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</si>
  <si>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</si>
  <si>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</si>
  <si>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</si>
  <si>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</si>
  <si>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</si>
  <si>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</si>
  <si>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</si>
  <si>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</si>
  <si>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</si>
  <si>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</si>
  <si>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</si>
  <si>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</si>
  <si>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</si>
  <si>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</si>
  <si>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</si>
  <si>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</si>
  <si>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</si>
  <si>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</si>
  <si>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</si>
  <si>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</si>
  <si>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</si>
  <si>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</si>
  <si>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</si>
  <si>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</si>
  <si>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</si>
  <si>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</si>
  <si>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</si>
  <si>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</si>
  <si>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</si>
  <si>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</si>
  <si>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</si>
  <si>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</si>
  <si>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</si>
  <si>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</si>
  <si>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</si>
  <si>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</si>
  <si>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</si>
  <si>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</si>
  <si>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</si>
  <si>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</si>
  <si>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</si>
  <si>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</si>
  <si>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</si>
  <si>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</si>
  <si>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</si>
  <si>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</si>
  <si>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</si>
  <si>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</si>
  <si>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</si>
  <si>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</si>
  <si>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</si>
  <si>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</si>
  <si>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</si>
  <si>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</si>
  <si>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</si>
  <si>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</si>
  <si>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</si>
  <si>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</si>
  <si>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</si>
  <si>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</si>
  <si>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</si>
  <si>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</si>
  <si>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</si>
  <si>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</si>
  <si>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</si>
  <si>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</si>
  <si>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</si>
  <si>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</si>
  <si>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</si>
  <si>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</si>
  <si>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</si>
  <si>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</si>
  <si>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</si>
  <si>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</si>
  <si>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</si>
  <si>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</si>
  <si>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</si>
  <si>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</si>
  <si>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</si>
  <si>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</si>
  <si>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</si>
  <si>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</si>
  <si>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</si>
  <si>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</si>
  <si>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</si>
  <si>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</si>
  <si>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</si>
  <si>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</si>
  <si>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</si>
  <si>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</si>
  <si>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</si>
  <si>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</si>
  <si>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</si>
  <si>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</si>
  <si>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</si>
  <si>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</si>
  <si>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</si>
  <si>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</si>
  <si>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</si>
  <si>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</si>
  <si>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</si>
  <si>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</si>
  <si>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</si>
  <si>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</si>
  <si>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</si>
  <si>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</si>
  <si>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</si>
  <si>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</si>
  <si>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</si>
  <si>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</si>
  <si>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</si>
  <si>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</si>
  <si>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</si>
  <si>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</si>
  <si>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</si>
  <si>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</si>
  <si>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</si>
  <si>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</si>
  <si>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</si>
  <si>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</si>
  <si>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</si>
  <si>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</si>
  <si>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</si>
  <si>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</si>
  <si>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</si>
  <si>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</si>
  <si>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</si>
  <si>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</si>
  <si>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</si>
  <si>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</si>
  <si>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</si>
  <si>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</si>
  <si>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</si>
  <si>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</si>
  <si>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</si>
  <si>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</si>
  <si>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</si>
  <si>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</si>
  <si>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</si>
  <si>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</si>
  <si>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</si>
  <si>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</si>
  <si>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</si>
  <si>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</si>
  <si>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</si>
  <si>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</si>
  <si>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</si>
  <si>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</si>
  <si>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</si>
  <si>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</si>
  <si>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</si>
  <si>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</si>
  <si>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</si>
  <si>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</si>
  <si>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</si>
  <si>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</si>
  <si>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</si>
  <si>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</si>
  <si>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</si>
  <si>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</si>
  <si>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</si>
  <si>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</si>
  <si>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</si>
  <si>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</si>
  <si>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</si>
  <si>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</si>
  <si>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</si>
  <si>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</si>
  <si>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</si>
  <si>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</si>
  <si>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</si>
  <si>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</si>
  <si>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</si>
  <si>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</si>
  <si>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</si>
  <si>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</si>
  <si>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</si>
  <si>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</si>
  <si>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</si>
  <si>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</si>
  <si>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</si>
  <si>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</si>
  <si>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</si>
  <si>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</si>
  <si>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</si>
  <si>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</si>
  <si>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</si>
  <si>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</si>
  <si>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</si>
  <si>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</si>
  <si>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</si>
  <si>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</si>
  <si>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</si>
  <si>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</si>
  <si>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</si>
  <si>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</si>
  <si>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</si>
  <si>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</si>
  <si>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</si>
  <si>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</si>
  <si>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</si>
  <si>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</si>
  <si>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</si>
  <si>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</si>
  <si>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</si>
  <si>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</si>
  <si>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</si>
  <si>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</si>
  <si>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</si>
  <si>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</si>
  <si>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</si>
  <si>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</si>
  <si>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</si>
  <si>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</si>
  <si>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</si>
  <si>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</si>
  <si>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</si>
  <si>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</si>
  <si>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</si>
  <si>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</si>
  <si>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</si>
  <si>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</si>
  <si>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</si>
  <si>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</si>
  <si>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</si>
  <si>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</si>
  <si>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</si>
  <si>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</si>
  <si>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</si>
  <si>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</si>
  <si>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</si>
  <si>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</si>
  <si>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</si>
  <si>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</si>
  <si>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</si>
  <si>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</si>
  <si>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</si>
  <si>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</si>
  <si>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</si>
  <si>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</si>
  <si>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</si>
  <si>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</si>
  <si>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</si>
  <si>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</si>
  <si>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</si>
  <si>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</si>
  <si>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</si>
  <si>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</si>
  <si>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</si>
  <si>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</si>
  <si>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</si>
  <si>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</si>
  <si>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</si>
  <si>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</si>
  <si>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</si>
  <si>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</si>
  <si>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</si>
  <si>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</si>
  <si>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</si>
  <si>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</si>
  <si>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</si>
  <si>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</si>
  <si>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</si>
  <si>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</si>
  <si>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</si>
  <si>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</si>
  <si>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</si>
  <si>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</si>
  <si>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</si>
  <si>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</si>
  <si>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</si>
  <si>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</si>
  <si>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</si>
  <si>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</si>
  <si>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</si>
  <si>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</si>
  <si>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</si>
  <si>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</si>
  <si>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</si>
  <si>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</si>
  <si>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</si>
  <si>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</si>
  <si>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</si>
  <si>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</si>
  <si>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</si>
  <si>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</si>
  <si>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</si>
  <si>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</si>
  <si>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</si>
  <si>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</si>
  <si>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</si>
  <si>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</si>
  <si>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</si>
  <si>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</si>
  <si>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</si>
  <si>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</si>
  <si>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</si>
  <si>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</si>
  <si>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</si>
  <si>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</si>
  <si>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</si>
  <si>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</si>
  <si>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</si>
  <si>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</si>
  <si>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</si>
  <si>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</si>
  <si>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</si>
  <si>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</si>
  <si>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</si>
  <si>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</si>
  <si>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</si>
  <si>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</si>
  <si>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</si>
  <si>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</si>
  <si>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</si>
  <si>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</si>
  <si>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</si>
  <si>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</si>
  <si>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</si>
  <si>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</si>
  <si>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</si>
  <si>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</si>
  <si>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</si>
  <si>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</si>
  <si>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</si>
  <si>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</si>
  <si>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</si>
  <si>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</si>
  <si>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</si>
  <si>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</si>
  <si>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</si>
  <si>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</si>
  <si>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</si>
  <si>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</si>
  <si>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</si>
  <si>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</si>
  <si>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</si>
  <si>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</si>
  <si>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</si>
  <si>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</si>
  <si>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</si>
  <si>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</si>
  <si>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</si>
  <si>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</si>
  <si>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</si>
  <si>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</si>
  <si>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</si>
  <si>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</si>
  <si>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</si>
  <si>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</si>
  <si>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</si>
  <si>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</si>
  <si>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</si>
  <si>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</si>
  <si>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</si>
  <si>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</si>
  <si>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</si>
  <si>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</si>
  <si>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</si>
  <si>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</si>
  <si>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</si>
  <si>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</si>
  <si>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</si>
  <si>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</si>
  <si>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</si>
  <si>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</si>
  <si>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</si>
  <si>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</si>
  <si>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</si>
  <si>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</si>
  <si>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</si>
  <si>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</si>
  <si>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</si>
  <si>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</si>
  <si>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</si>
  <si>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</si>
  <si>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</si>
  <si>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</si>
  <si>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</si>
  <si>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</si>
  <si>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</si>
  <si>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</si>
  <si>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</si>
  <si>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</si>
  <si>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</si>
  <si>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</si>
  <si>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</si>
  <si>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</si>
  <si>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</si>
  <si>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</si>
  <si>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</si>
  <si>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</si>
  <si>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</si>
  <si>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</si>
  <si>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</si>
  <si>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</si>
  <si>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</si>
  <si>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</si>
  <si>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</si>
  <si>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</si>
  <si>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</si>
  <si>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</si>
  <si>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</si>
  <si>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</si>
  <si>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</si>
  <si>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</si>
  <si>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</si>
  <si>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</si>
  <si>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</si>
  <si>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</si>
  <si>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</si>
  <si>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</si>
  <si>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</si>
  <si>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</si>
  <si>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</si>
  <si>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</si>
  <si>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</si>
  <si>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</si>
  <si>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</si>
  <si>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</si>
  <si>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</si>
  <si>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</si>
  <si>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</si>
  <si>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</si>
  <si>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</si>
  <si>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</si>
  <si>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</si>
  <si>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</si>
  <si>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</si>
  <si>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</si>
  <si>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</si>
  <si>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</si>
  <si>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</si>
  <si>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</si>
  <si>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</si>
  <si>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</si>
  <si>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</si>
  <si>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</si>
  <si>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</si>
  <si>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</si>
  <si>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</si>
  <si>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</si>
  <si>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</si>
  <si>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</si>
  <si>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</si>
  <si>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</si>
  <si>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</si>
  <si>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</si>
  <si>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</si>
  <si>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</si>
  <si>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</si>
  <si>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</si>
  <si>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</si>
  <si>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</si>
  <si>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</si>
  <si>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</si>
  <si>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</si>
  <si>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</si>
  <si>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</si>
  <si>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</si>
  <si>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</si>
  <si>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</si>
  <si>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</si>
  <si>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</si>
  <si>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</si>
  <si>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</si>
  <si>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</si>
  <si>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</si>
  <si>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</si>
  <si>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</si>
  <si>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</si>
  <si>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</si>
  <si>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</si>
  <si>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</si>
  <si>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</si>
  <si>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</si>
  <si>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</si>
  <si>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</si>
  <si>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</si>
  <si>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</si>
  <si>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</si>
  <si>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</si>
  <si>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</si>
  <si>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</si>
  <si>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</si>
  <si>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</si>
  <si>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</si>
  <si>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</si>
  <si>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</si>
  <si>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</si>
  <si>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</si>
  <si>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</si>
  <si>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</si>
  <si>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</si>
  <si>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</si>
  <si>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</si>
  <si>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</si>
  <si>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</si>
  <si>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</si>
  <si>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23050</t>
  </si>
  <si>
    <t>MEISE</t>
  </si>
  <si>
    <t>Eandis (januari 2018); Infrax (juni 2018)</t>
  </si>
  <si>
    <t>MOW (september 2017)</t>
  </si>
  <si>
    <t>referentietaak LNE (2017); Jaarverslag De Lijn (2016)</t>
  </si>
  <si>
    <t>VEA (april 2018)</t>
  </si>
  <si>
    <t>VEA (januari 2017)</t>
  </si>
  <si>
    <t>VEA (juni 2018)</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</si>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</sst>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159593.32353688765</c:v>
                </c:pt>
                <c:pt idx="1">
                  <c:v>50591.7071515891</c:v>
                </c:pt>
                <c:pt idx="2">
                  <c:v>2097.1750000000002</c:v>
                </c:pt>
                <c:pt idx="3">
                  <c:v>4295.3862972032675</c:v>
                </c:pt>
                <c:pt idx="4">
                  <c:v>12875.912674065792</c:v>
                </c:pt>
                <c:pt idx="5">
                  <c:v>266173.41699932923</c:v>
                </c:pt>
                <c:pt idx="6">
                  <c:v>4780.0667843356077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159593.32353688765</c:v>
                </c:pt>
                <c:pt idx="1">
                  <c:v>50591.7071515891</c:v>
                </c:pt>
                <c:pt idx="2">
                  <c:v>2097.1750000000002</c:v>
                </c:pt>
                <c:pt idx="3">
                  <c:v>4295.3862972032675</c:v>
                </c:pt>
                <c:pt idx="4">
                  <c:v>12875.912674065792</c:v>
                </c:pt>
                <c:pt idx="5">
                  <c:v>266173.41699932923</c:v>
                </c:pt>
                <c:pt idx="6">
                  <c:v>4780.0667843356077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32768.453986132881</c:v>
                </c:pt>
                <c:pt idx="2">
                  <c:v>10250.081073302999</c:v>
                </c:pt>
                <c:pt idx="3">
                  <c:v>435.5002631686055</c:v>
                </c:pt>
                <c:pt idx="4">
                  <c:v>1095.0040430999154</c:v>
                </c:pt>
                <c:pt idx="5">
                  <c:v>2476.8567397964916</c:v>
                </c:pt>
                <c:pt idx="6">
                  <c:v>66624.243644196453</c:v>
                </c:pt>
                <c:pt idx="7">
                  <c:v>1207.6865658991305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37248"/>
        <c:axId val="183239040"/>
      </c:barChart>
      <c:catAx>
        <c:axId val="183237248"/>
        <c:scaling>
          <c:orientation val="minMax"/>
        </c:scaling>
        <c:axPos val="b"/>
        <c:numFmt formatCode="General" sourceLinked="0"/>
        <c:tickLblPos val="nextTo"/>
        <c:crossAx val="183239040"/>
        <c:crosses val="autoZero"/>
        <c:auto val="1"/>
        <c:lblAlgn val="ctr"/>
        <c:lblOffset val="100"/>
      </c:catAx>
      <c:valAx>
        <c:axId val="183239040"/>
        <c:scaling>
          <c:orientation val="minMax"/>
        </c:scaling>
        <c:axPos val="l"/>
        <c:majorGridlines>
          <c:spPr>
            <a:ln>
              <a:noFill/>
            </a:ln>
          </c:spPr>
        </c:majorGridlines>
        <c:numFmt formatCode="#,##0" sourceLinked="1"/>
        <c:tickLblPos val="nextTo"/>
        <c:crossAx val="1832372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32768.453986132881</c:v>
                </c:pt>
                <c:pt idx="2">
                  <c:v>10250.081073302999</c:v>
                </c:pt>
                <c:pt idx="3">
                  <c:v>435.5002631686055</c:v>
                </c:pt>
                <c:pt idx="4">
                  <c:v>1095.0040430999154</c:v>
                </c:pt>
                <c:pt idx="5">
                  <c:v>2476.8567397964916</c:v>
                </c:pt>
                <c:pt idx="6">
                  <c:v>66624.243644196453</c:v>
                </c:pt>
                <c:pt idx="7">
                  <c:v>1207.6865658991305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23050</v>
      </c>
      <c r="B6" s="415"/>
      <c r="C6" s="416"/>
    </row>
    <row r="7" spans="1:7" s="413" customFormat="1" ht="15.75" customHeight="1">
      <c r="A7" s="417" t="str">
        <f>txtMunicipality</f>
        <v>MEISE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0.2076604304212121</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0.2076604304212121</v>
      </c>
      <c r="C29" s="525">
        <f ca="1">'EF ele_warmte'!B22</f>
        <v>0.22444444444444442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7553</v>
      </c>
      <c r="C9" s="342">
        <v>7596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1785.98</v>
      </c>
    </row>
    <row r="15" spans="1:6">
      <c r="A15" s="348" t="s">
        <v>184</v>
      </c>
      <c r="B15" s="334">
        <v>4</v>
      </c>
    </row>
    <row r="16" spans="1:6">
      <c r="A16" s="348" t="s">
        <v>6</v>
      </c>
      <c r="B16" s="334">
        <v>261</v>
      </c>
    </row>
    <row r="17" spans="1:6">
      <c r="A17" s="348" t="s">
        <v>7</v>
      </c>
      <c r="B17" s="334">
        <v>434</v>
      </c>
    </row>
    <row r="18" spans="1:6">
      <c r="A18" s="348" t="s">
        <v>8</v>
      </c>
      <c r="B18" s="334">
        <v>537</v>
      </c>
    </row>
    <row r="19" spans="1:6">
      <c r="A19" s="348" t="s">
        <v>9</v>
      </c>
      <c r="B19" s="334">
        <v>520</v>
      </c>
    </row>
    <row r="20" spans="1:6">
      <c r="A20" s="348" t="s">
        <v>10</v>
      </c>
      <c r="B20" s="334">
        <v>524</v>
      </c>
    </row>
    <row r="21" spans="1:6">
      <c r="A21" s="348" t="s">
        <v>11</v>
      </c>
      <c r="B21" s="334">
        <v>0</v>
      </c>
    </row>
    <row r="22" spans="1:6">
      <c r="A22" s="348" t="s">
        <v>12</v>
      </c>
      <c r="B22" s="334">
        <v>0</v>
      </c>
    </row>
    <row r="23" spans="1:6">
      <c r="A23" s="348" t="s">
        <v>13</v>
      </c>
      <c r="B23" s="334">
        <v>2</v>
      </c>
    </row>
    <row r="24" spans="1:6">
      <c r="A24" s="348" t="s">
        <v>14</v>
      </c>
      <c r="B24" s="334">
        <v>0</v>
      </c>
    </row>
    <row r="25" spans="1:6">
      <c r="A25" s="348" t="s">
        <v>15</v>
      </c>
      <c r="B25" s="334">
        <v>0</v>
      </c>
    </row>
    <row r="26" spans="1:6">
      <c r="A26" s="348" t="s">
        <v>16</v>
      </c>
      <c r="B26" s="334">
        <v>359</v>
      </c>
    </row>
    <row r="27" spans="1:6">
      <c r="A27" s="348" t="s">
        <v>17</v>
      </c>
      <c r="B27" s="334">
        <v>3</v>
      </c>
    </row>
    <row r="28" spans="1:6" s="356" customFormat="1">
      <c r="A28" s="355" t="s">
        <v>18</v>
      </c>
      <c r="B28" s="355">
        <v>9</v>
      </c>
    </row>
    <row r="29" spans="1:6">
      <c r="A29" s="355" t="s">
        <v>744</v>
      </c>
      <c r="B29" s="355">
        <v>199</v>
      </c>
      <c r="C29" s="356"/>
      <c r="D29" s="356"/>
      <c r="E29" s="356"/>
      <c r="F29" s="356"/>
    </row>
    <row r="30" spans="1:6">
      <c r="A30" s="341" t="s">
        <v>745</v>
      </c>
      <c r="B30" s="341">
        <v>37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23377.674144599201</v>
      </c>
      <c r="E38" s="334">
        <v>4</v>
      </c>
      <c r="F38" s="334">
        <v>9077.2970788399998</v>
      </c>
    </row>
    <row r="39" spans="1:6">
      <c r="A39" s="348" t="s">
        <v>30</v>
      </c>
      <c r="B39" s="348" t="s">
        <v>31</v>
      </c>
      <c r="C39" s="334">
        <v>4922</v>
      </c>
      <c r="D39" s="334">
        <v>94865941.002996698</v>
      </c>
      <c r="E39" s="334">
        <v>7417</v>
      </c>
      <c r="F39" s="334">
        <v>31786416.492120702</v>
      </c>
    </row>
    <row r="40" spans="1:6">
      <c r="A40" s="348" t="s">
        <v>30</v>
      </c>
      <c r="B40" s="348" t="s">
        <v>29</v>
      </c>
      <c r="C40" s="334">
        <v>0</v>
      </c>
      <c r="D40" s="334">
        <v>0</v>
      </c>
      <c r="E40" s="334">
        <v>0</v>
      </c>
      <c r="F40" s="334">
        <v>0</v>
      </c>
    </row>
    <row r="41" spans="1:6">
      <c r="A41" s="348" t="s">
        <v>32</v>
      </c>
      <c r="B41" s="348" t="s">
        <v>33</v>
      </c>
      <c r="C41" s="334">
        <v>32</v>
      </c>
      <c r="D41" s="334">
        <v>758602.61558320106</v>
      </c>
      <c r="E41" s="334">
        <v>76</v>
      </c>
      <c r="F41" s="334">
        <v>1661624.9610338199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28889.434542918501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27</v>
      </c>
      <c r="D48" s="334">
        <v>593984.37550572201</v>
      </c>
      <c r="E48" s="334">
        <v>56</v>
      </c>
      <c r="F48" s="334">
        <v>4889317.5480010901</v>
      </c>
    </row>
    <row r="49" spans="1:6">
      <c r="A49" s="348" t="s">
        <v>32</v>
      </c>
      <c r="B49" s="348" t="s">
        <v>40</v>
      </c>
      <c r="C49" s="334">
        <v>0</v>
      </c>
      <c r="D49" s="334">
        <v>0</v>
      </c>
      <c r="E49" s="334">
        <v>0</v>
      </c>
      <c r="F49" s="334">
        <v>0</v>
      </c>
    </row>
    <row r="50" spans="1:6">
      <c r="A50" s="348" t="s">
        <v>32</v>
      </c>
      <c r="B50" s="348" t="s">
        <v>41</v>
      </c>
      <c r="C50" s="334">
        <v>3</v>
      </c>
      <c r="D50" s="334">
        <v>210061.47318889701</v>
      </c>
      <c r="E50" s="334">
        <v>5</v>
      </c>
      <c r="F50" s="334">
        <v>143507.60315139999</v>
      </c>
    </row>
    <row r="51" spans="1:6">
      <c r="A51" s="348" t="s">
        <v>42</v>
      </c>
      <c r="B51" s="348" t="s">
        <v>43</v>
      </c>
      <c r="C51" s="334">
        <v>0</v>
      </c>
      <c r="D51" s="334">
        <v>0</v>
      </c>
      <c r="E51" s="334">
        <v>46</v>
      </c>
      <c r="F51" s="334">
        <v>655303.79041635501</v>
      </c>
    </row>
    <row r="52" spans="1:6">
      <c r="A52" s="348" t="s">
        <v>42</v>
      </c>
      <c r="B52" s="348" t="s">
        <v>29</v>
      </c>
      <c r="C52" s="334">
        <v>7</v>
      </c>
      <c r="D52" s="334">
        <v>263708.15561884601</v>
      </c>
      <c r="E52" s="334">
        <v>8</v>
      </c>
      <c r="F52" s="334">
        <v>104500.751059079</v>
      </c>
    </row>
    <row r="53" spans="1:6">
      <c r="A53" s="348" t="s">
        <v>44</v>
      </c>
      <c r="B53" s="348" t="s">
        <v>45</v>
      </c>
      <c r="C53" s="334">
        <v>130</v>
      </c>
      <c r="D53" s="334">
        <v>2610408.2998914002</v>
      </c>
      <c r="E53" s="334">
        <v>299</v>
      </c>
      <c r="F53" s="334">
        <v>1098820.5597196301</v>
      </c>
    </row>
    <row r="54" spans="1:6">
      <c r="A54" s="348" t="s">
        <v>46</v>
      </c>
      <c r="B54" s="348" t="s">
        <v>47</v>
      </c>
      <c r="C54" s="334">
        <v>0</v>
      </c>
      <c r="D54" s="334">
        <v>0</v>
      </c>
      <c r="E54" s="334">
        <v>1</v>
      </c>
      <c r="F54" s="334">
        <v>2097175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647954.24582317995</v>
      </c>
      <c r="E57" s="334">
        <v>83</v>
      </c>
      <c r="F57" s="334">
        <v>863162.48594980699</v>
      </c>
    </row>
    <row r="58" spans="1:6">
      <c r="A58" s="348" t="s">
        <v>49</v>
      </c>
      <c r="B58" s="348" t="s">
        <v>51</v>
      </c>
      <c r="C58" s="334">
        <v>19</v>
      </c>
      <c r="D58" s="334">
        <v>528248.37476512301</v>
      </c>
      <c r="E58" s="334">
        <v>30</v>
      </c>
      <c r="F58" s="334">
        <v>173392.79559438</v>
      </c>
    </row>
    <row r="59" spans="1:6">
      <c r="A59" s="348" t="s">
        <v>49</v>
      </c>
      <c r="B59" s="348" t="s">
        <v>52</v>
      </c>
      <c r="C59" s="334">
        <v>54</v>
      </c>
      <c r="D59" s="334">
        <v>1528799.5613323399</v>
      </c>
      <c r="E59" s="334">
        <v>152</v>
      </c>
      <c r="F59" s="334">
        <v>3615382.74844258</v>
      </c>
    </row>
    <row r="60" spans="1:6">
      <c r="A60" s="348" t="s">
        <v>49</v>
      </c>
      <c r="B60" s="348" t="s">
        <v>53</v>
      </c>
      <c r="C60" s="334">
        <v>41</v>
      </c>
      <c r="D60" s="334">
        <v>2892343.8587142699</v>
      </c>
      <c r="E60" s="334">
        <v>65</v>
      </c>
      <c r="F60" s="334">
        <v>1621998.56214655</v>
      </c>
    </row>
    <row r="61" spans="1:6">
      <c r="A61" s="348" t="s">
        <v>49</v>
      </c>
      <c r="B61" s="348" t="s">
        <v>54</v>
      </c>
      <c r="C61" s="334">
        <v>199</v>
      </c>
      <c r="D61" s="334">
        <v>9230631.37373841</v>
      </c>
      <c r="E61" s="334">
        <v>420</v>
      </c>
      <c r="F61" s="334">
        <v>5156697.95983693</v>
      </c>
    </row>
    <row r="62" spans="1:6">
      <c r="A62" s="348" t="s">
        <v>49</v>
      </c>
      <c r="B62" s="348" t="s">
        <v>55</v>
      </c>
      <c r="C62" s="334">
        <v>5</v>
      </c>
      <c r="D62" s="334">
        <v>362907.19941141899</v>
      </c>
      <c r="E62" s="334">
        <v>5</v>
      </c>
      <c r="F62" s="334">
        <v>60905.340698073996</v>
      </c>
    </row>
    <row r="63" spans="1:6">
      <c r="A63" s="348" t="s">
        <v>49</v>
      </c>
      <c r="B63" s="348" t="s">
        <v>29</v>
      </c>
      <c r="C63" s="334">
        <v>137</v>
      </c>
      <c r="D63" s="334">
        <v>19028699.473799199</v>
      </c>
      <c r="E63" s="334">
        <v>161</v>
      </c>
      <c r="F63" s="334">
        <v>4190920.8241387899</v>
      </c>
    </row>
    <row r="64" spans="1:6">
      <c r="A64" s="348" t="s">
        <v>56</v>
      </c>
      <c r="B64" s="348" t="s">
        <v>57</v>
      </c>
      <c r="C64" s="334">
        <v>0</v>
      </c>
      <c r="D64" s="334">
        <v>0</v>
      </c>
      <c r="E64" s="334">
        <v>0</v>
      </c>
      <c r="F64" s="334">
        <v>0</v>
      </c>
    </row>
    <row r="65" spans="1:6">
      <c r="A65" s="348" t="s">
        <v>56</v>
      </c>
      <c r="B65" s="348" t="s">
        <v>29</v>
      </c>
      <c r="C65" s="334">
        <v>2</v>
      </c>
      <c r="D65" s="334">
        <v>30378.985020853699</v>
      </c>
      <c r="E65" s="334">
        <v>5</v>
      </c>
      <c r="F65" s="334">
        <v>152852.64302710199</v>
      </c>
    </row>
    <row r="66" spans="1:6">
      <c r="A66" s="348" t="s">
        <v>56</v>
      </c>
      <c r="B66" s="348" t="s">
        <v>58</v>
      </c>
      <c r="C66" s="334">
        <v>0</v>
      </c>
      <c r="D66" s="334">
        <v>0</v>
      </c>
      <c r="E66" s="334">
        <v>9</v>
      </c>
      <c r="F66" s="334">
        <v>410793.81019636599</v>
      </c>
    </row>
    <row r="67" spans="1:6">
      <c r="A67" s="355" t="s">
        <v>56</v>
      </c>
      <c r="B67" s="355" t="s">
        <v>59</v>
      </c>
      <c r="C67" s="334">
        <v>0</v>
      </c>
      <c r="D67" s="334">
        <v>0</v>
      </c>
      <c r="E67" s="334">
        <v>0</v>
      </c>
      <c r="F67" s="334">
        <v>0</v>
      </c>
    </row>
    <row r="68" spans="1:6">
      <c r="A68" s="341" t="s">
        <v>56</v>
      </c>
      <c r="B68" s="341" t="s">
        <v>60</v>
      </c>
      <c r="C68" s="334">
        <v>7</v>
      </c>
      <c r="D68" s="334">
        <v>215127.26327322901</v>
      </c>
      <c r="E68" s="334">
        <v>15</v>
      </c>
      <c r="F68" s="334">
        <v>125605.04328280401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89202841</v>
      </c>
      <c r="E73" s="475">
        <v>90815133.065010458</v>
      </c>
    </row>
    <row r="74" spans="1:6">
      <c r="A74" s="348" t="s">
        <v>64</v>
      </c>
      <c r="B74" s="348" t="s">
        <v>657</v>
      </c>
      <c r="C74" s="1295" t="s">
        <v>659</v>
      </c>
      <c r="D74" s="475">
        <v>3838907</v>
      </c>
      <c r="E74" s="475">
        <v>3862726.3894427451</v>
      </c>
    </row>
    <row r="75" spans="1:6">
      <c r="A75" s="348" t="s">
        <v>65</v>
      </c>
      <c r="B75" s="348" t="s">
        <v>656</v>
      </c>
      <c r="C75" s="1295" t="s">
        <v>660</v>
      </c>
      <c r="D75" s="475">
        <v>40445638</v>
      </c>
      <c r="E75" s="475">
        <v>40952118.110770054</v>
      </c>
    </row>
    <row r="76" spans="1:6">
      <c r="A76" s="348" t="s">
        <v>65</v>
      </c>
      <c r="B76" s="348" t="s">
        <v>657</v>
      </c>
      <c r="C76" s="1295" t="s">
        <v>661</v>
      </c>
      <c r="D76" s="475">
        <v>1419975</v>
      </c>
      <c r="E76" s="475">
        <v>1468287.9211209272</v>
      </c>
    </row>
    <row r="77" spans="1:6">
      <c r="A77" s="348" t="s">
        <v>66</v>
      </c>
      <c r="B77" s="348" t="s">
        <v>656</v>
      </c>
      <c r="C77" s="1295" t="s">
        <v>662</v>
      </c>
      <c r="D77" s="475">
        <v>161457504</v>
      </c>
      <c r="E77" s="475">
        <v>166826798.4722949</v>
      </c>
    </row>
    <row r="78" spans="1:6">
      <c r="A78" s="341" t="s">
        <v>66</v>
      </c>
      <c r="B78" s="341" t="s">
        <v>657</v>
      </c>
      <c r="C78" s="341" t="s">
        <v>663</v>
      </c>
      <c r="D78" s="1296">
        <v>20423262</v>
      </c>
      <c r="E78" s="1296">
        <v>20242351.856740095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1296434</v>
      </c>
      <c r="C83" s="475">
        <v>1298198.5296012042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3030.2396603551078</v>
      </c>
    </row>
    <row r="92" spans="1:6">
      <c r="A92" s="341" t="s">
        <v>69</v>
      </c>
      <c r="B92" s="342">
        <v>670.04065007111353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3173</v>
      </c>
    </row>
    <row r="98" spans="1:6">
      <c r="A98" s="348" t="s">
        <v>72</v>
      </c>
      <c r="B98" s="334">
        <v>1</v>
      </c>
    </row>
    <row r="99" spans="1:6">
      <c r="A99" s="348" t="s">
        <v>73</v>
      </c>
      <c r="B99" s="334">
        <v>41</v>
      </c>
    </row>
    <row r="100" spans="1:6">
      <c r="A100" s="348" t="s">
        <v>74</v>
      </c>
      <c r="B100" s="334">
        <v>622</v>
      </c>
    </row>
    <row r="101" spans="1:6">
      <c r="A101" s="348" t="s">
        <v>75</v>
      </c>
      <c r="B101" s="334">
        <v>47</v>
      </c>
    </row>
    <row r="102" spans="1:6">
      <c r="A102" s="348" t="s">
        <v>76</v>
      </c>
      <c r="B102" s="334">
        <v>97</v>
      </c>
    </row>
    <row r="103" spans="1:6">
      <c r="A103" s="348" t="s">
        <v>77</v>
      </c>
      <c r="B103" s="334">
        <v>88</v>
      </c>
    </row>
    <row r="104" spans="1:6">
      <c r="A104" s="348" t="s">
        <v>78</v>
      </c>
      <c r="B104" s="334">
        <v>2710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0</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61301.278575490564</v>
      </c>
      <c r="C3" s="43" t="s">
        <v>170</v>
      </c>
      <c r="D3" s="43"/>
      <c r="E3" s="154"/>
      <c r="F3" s="43"/>
      <c r="G3" s="43"/>
      <c r="H3" s="43"/>
      <c r="I3" s="43"/>
      <c r="J3" s="43"/>
      <c r="K3" s="96"/>
    </row>
    <row r="4" spans="1:11">
      <c r="A4" s="383" t="s">
        <v>171</v>
      </c>
      <c r="B4" s="49">
        <f>IF(ISERROR('SEAP template'!B78+'SEAP template'!C78),0,'SEAP template'!B78+'SEAP template'!C78)</f>
        <v>3708.7803104262211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1.9077777777777776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0.2076604304212121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2.7327627627627624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12.175675675675675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2097.1750000000002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2097.1750000000002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0.2076604304212121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435.5002631686055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31786.416492120701</v>
      </c>
      <c r="C5" s="17">
        <f>IF(ISERROR('Eigen informatie GS &amp; warmtenet'!B57),0,'Eigen informatie GS &amp; warmtenet'!B57)</f>
        <v>0</v>
      </c>
      <c r="D5" s="30">
        <f>(SUM(HH_hh_gas_kWh,HH_rest_gas_kWh)/1000)*0.902</f>
        <v>85569.07878470303</v>
      </c>
      <c r="E5" s="17">
        <f>B46*B57</f>
        <v>1770.5792450263368</v>
      </c>
      <c r="F5" s="17">
        <f>B51*B62</f>
        <v>29406.504796072739</v>
      </c>
      <c r="G5" s="18"/>
      <c r="H5" s="17"/>
      <c r="I5" s="17"/>
      <c r="J5" s="17">
        <f>B50*B61+C50*C61</f>
        <v>0</v>
      </c>
      <c r="K5" s="17"/>
      <c r="L5" s="17"/>
      <c r="M5" s="17"/>
      <c r="N5" s="17">
        <f>B48*B59+C48*C59</f>
        <v>6917.0678919430702</v>
      </c>
      <c r="O5" s="17">
        <f>B69*B70*B71</f>
        <v>217.30333333333337</v>
      </c>
      <c r="P5" s="17">
        <f>B77*B78*B79/1000-B77*B78*B79/1000/B80</f>
        <v>896.13333333333333</v>
      </c>
    </row>
    <row r="6" spans="1:16">
      <c r="A6" s="16" t="s">
        <v>621</v>
      </c>
      <c r="B6" s="788">
        <f>kWh_PV_kleiner_dan_10kW</f>
        <v>3030.2396603551078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34816.656152475807</v>
      </c>
      <c r="C8" s="21">
        <f>C5</f>
        <v>0</v>
      </c>
      <c r="D8" s="21">
        <f>D5</f>
        <v>85569.07878470303</v>
      </c>
      <c r="E8" s="21">
        <f>E5</f>
        <v>1770.5792450263368</v>
      </c>
      <c r="F8" s="21">
        <f>F5</f>
        <v>29406.504796072739</v>
      </c>
      <c r="G8" s="21"/>
      <c r="H8" s="21"/>
      <c r="I8" s="21"/>
      <c r="J8" s="21">
        <f>J5</f>
        <v>0</v>
      </c>
      <c r="K8" s="21"/>
      <c r="L8" s="21">
        <f>L5</f>
        <v>0</v>
      </c>
      <c r="M8" s="21">
        <f>M5</f>
        <v>0</v>
      </c>
      <c r="N8" s="21">
        <f>N5</f>
        <v>6917.0678919430702</v>
      </c>
      <c r="O8" s="21">
        <f>O5</f>
        <v>217.30333333333337</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0.2076604304212121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7230.0418024504688</v>
      </c>
      <c r="C12" s="23">
        <f ca="1">C10*C8</f>
        <v>0</v>
      </c>
      <c r="D12" s="23">
        <f>D8*D10</f>
        <v>17284.953914510013</v>
      </c>
      <c r="E12" s="23">
        <f>E10*E8</f>
        <v>401.92148862097849</v>
      </c>
      <c r="F12" s="23">
        <f>F10*F8</f>
        <v>7851.5367805514215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3173</v>
      </c>
      <c r="C18" s="166" t="s">
        <v>111</v>
      </c>
      <c r="D18" s="228"/>
      <c r="E18" s="15"/>
    </row>
    <row r="19" spans="1:7">
      <c r="A19" s="171" t="s">
        <v>72</v>
      </c>
      <c r="B19" s="37">
        <f>aantalw2001_ander</f>
        <v>1</v>
      </c>
      <c r="C19" s="166" t="s">
        <v>111</v>
      </c>
      <c r="D19" s="229"/>
      <c r="E19" s="15"/>
    </row>
    <row r="20" spans="1:7">
      <c r="A20" s="171" t="s">
        <v>73</v>
      </c>
      <c r="B20" s="37">
        <f>aantalw2001_propaan</f>
        <v>41</v>
      </c>
      <c r="C20" s="167">
        <f>IF(ISERROR(B20/SUM($B$20,$B$21,$B$22)*100),0,B20/SUM($B$20,$B$21,$B$22)*100)</f>
        <v>5.774647887323944</v>
      </c>
      <c r="D20" s="229"/>
      <c r="E20" s="15"/>
    </row>
    <row r="21" spans="1:7">
      <c r="A21" s="171" t="s">
        <v>74</v>
      </c>
      <c r="B21" s="37">
        <f>aantalw2001_elektriciteit</f>
        <v>622</v>
      </c>
      <c r="C21" s="167">
        <f>IF(ISERROR(B21/SUM($B$20,$B$21,$B$22)*100),0,B21/SUM($B$20,$B$21,$B$22)*100)</f>
        <v>87.605633802816911</v>
      </c>
      <c r="D21" s="229"/>
      <c r="E21" s="15"/>
    </row>
    <row r="22" spans="1:7">
      <c r="A22" s="171" t="s">
        <v>75</v>
      </c>
      <c r="B22" s="37">
        <f>aantalw2001_hout</f>
        <v>47</v>
      </c>
      <c r="C22" s="167">
        <f>IF(ISERROR(B22/SUM($B$20,$B$21,$B$22)*100),0,B22/SUM($B$20,$B$21,$B$22)*100)</f>
        <v>6.6197183098591541</v>
      </c>
      <c r="D22" s="229"/>
      <c r="E22" s="15"/>
    </row>
    <row r="23" spans="1:7">
      <c r="A23" s="171" t="s">
        <v>76</v>
      </c>
      <c r="B23" s="37">
        <f>aantalw2001_niet_gespec</f>
        <v>97</v>
      </c>
      <c r="C23" s="166" t="s">
        <v>111</v>
      </c>
      <c r="D23" s="228"/>
      <c r="E23" s="15"/>
    </row>
    <row r="24" spans="1:7">
      <c r="A24" s="171" t="s">
        <v>77</v>
      </c>
      <c r="B24" s="37">
        <f>aantalw2001_steenkool</f>
        <v>88</v>
      </c>
      <c r="C24" s="166" t="s">
        <v>111</v>
      </c>
      <c r="D24" s="229"/>
      <c r="E24" s="15"/>
    </row>
    <row r="25" spans="1:7">
      <c r="A25" s="171" t="s">
        <v>78</v>
      </c>
      <c r="B25" s="37">
        <f>aantalw2001_stookolie</f>
        <v>2710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7553</v>
      </c>
      <c r="C28" s="36"/>
      <c r="D28" s="228"/>
    </row>
    <row r="29" spans="1:7" s="15" customFormat="1">
      <c r="A29" s="230" t="s">
        <v>794</v>
      </c>
      <c r="B29" s="37">
        <f>SUM(HH_hh_gas_aantal,HH_rest_gas_aantal)</f>
        <v>4922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4922</v>
      </c>
      <c r="C32" s="167">
        <f>IF(ISERROR(B32/SUM($B$32,$B$34,$B$35,$B$36,$B$38,$B$39)*100),0,B32/SUM($B$32,$B$34,$B$35,$B$36,$B$38,$B$39)*100)</f>
        <v>65.574207300826004</v>
      </c>
      <c r="D32" s="233"/>
      <c r="G32" s="15"/>
    </row>
    <row r="33" spans="1:7">
      <c r="A33" s="171" t="s">
        <v>72</v>
      </c>
      <c r="B33" s="34" t="s">
        <v>111</v>
      </c>
      <c r="C33" s="167"/>
      <c r="D33" s="233"/>
      <c r="G33" s="15"/>
    </row>
    <row r="34" spans="1:7">
      <c r="A34" s="171" t="s">
        <v>73</v>
      </c>
      <c r="B34" s="33">
        <f>IF((($B$28-$B$32-$B$39-$B$77-$B$38)*C20/100)&lt;0,0,($B$28-$B$32-$B$39-$B$77-$B$38)*C20/100)</f>
        <v>83.622676056338037</v>
      </c>
      <c r="C34" s="167">
        <f>IF(ISERROR(B34/SUM($B$32,$B$34,$B$35,$B$36,$B$38,$B$39)*100),0,B34/SUM($B$32,$B$34,$B$35,$B$36,$B$38,$B$39)*100)</f>
        <v>1.1140777518830007</v>
      </c>
      <c r="D34" s="233"/>
      <c r="G34" s="15"/>
    </row>
    <row r="35" spans="1:7">
      <c r="A35" s="171" t="s">
        <v>74</v>
      </c>
      <c r="B35" s="33">
        <f>IF((($B$28-$B$32-$B$39-$B$77-$B$38)*C21/100)&lt;0,0,($B$28-$B$32-$B$39-$B$77-$B$38)*C21/100)</f>
        <v>1268.6171830985918</v>
      </c>
      <c r="C35" s="167">
        <f>IF(ISERROR(B35/SUM($B$32,$B$34,$B$35,$B$36,$B$38,$B$39)*100),0,B35/SUM($B$32,$B$34,$B$35,$B$36,$B$38,$B$39)*100)</f>
        <v>16.901374674907967</v>
      </c>
      <c r="D35" s="233"/>
      <c r="G35" s="15"/>
    </row>
    <row r="36" spans="1:7">
      <c r="A36" s="171" t="s">
        <v>75</v>
      </c>
      <c r="B36" s="33">
        <f>IF((($B$28-$B$32-$B$39-$B$77-$B$38)*C22/100)&lt;0,0,($B$28-$B$32-$B$39-$B$77-$B$38)*C22/100)</f>
        <v>95.860140845070418</v>
      </c>
      <c r="C36" s="167">
        <f>IF(ISERROR(B36/SUM($B$32,$B$34,$B$35,$B$36,$B$38,$B$39)*100),0,B36/SUM($B$32,$B$34,$B$35,$B$36,$B$38,$B$39)*100)</f>
        <v>1.2771135204512447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1135.8999999999999</v>
      </c>
      <c r="C39" s="167">
        <f>IF(ISERROR(B39/SUM($B$32,$B$34,$B$35,$B$36,$B$38,$B$39)*100),0,B39/SUM($B$32,$B$34,$B$35,$B$36,$B$38,$B$39)*100)</f>
        <v>15.133226751931787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4922</v>
      </c>
      <c r="C44" s="34" t="s">
        <v>111</v>
      </c>
      <c r="D44" s="174"/>
    </row>
    <row r="45" spans="1:7">
      <c r="A45" s="171" t="s">
        <v>72</v>
      </c>
      <c r="B45" s="33" t="str">
        <f t="shared" si="0"/>
        <v>-</v>
      </c>
      <c r="C45" s="34" t="s">
        <v>111</v>
      </c>
      <c r="D45" s="174"/>
    </row>
    <row r="46" spans="1:7">
      <c r="A46" s="171" t="s">
        <v>73</v>
      </c>
      <c r="B46" s="33">
        <f t="shared" si="0"/>
        <v>83.622676056338037</v>
      </c>
      <c r="C46" s="34" t="s">
        <v>111</v>
      </c>
      <c r="D46" s="174"/>
    </row>
    <row r="47" spans="1:7">
      <c r="A47" s="171" t="s">
        <v>74</v>
      </c>
      <c r="B47" s="33">
        <f t="shared" si="0"/>
        <v>1268.6171830985918</v>
      </c>
      <c r="C47" s="34" t="s">
        <v>111</v>
      </c>
      <c r="D47" s="174"/>
    </row>
    <row r="48" spans="1:7">
      <c r="A48" s="171" t="s">
        <v>75</v>
      </c>
      <c r="B48" s="33">
        <f t="shared" si="0"/>
        <v>95.860140845070418</v>
      </c>
      <c r="C48" s="33">
        <f>B48*10</f>
        <v>958.60140845070418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1135.8999999999999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15682.460716807112</v>
      </c>
      <c r="C5" s="17">
        <f>IF(ISERROR('Eigen informatie GS &amp; warmtenet'!B58),0,'Eigen informatie GS &amp; warmtenet'!B58)</f>
        <v>0</v>
      </c>
      <c r="D5" s="30">
        <f>SUM(D6:D12)</f>
        <v>30866.064847000715</v>
      </c>
      <c r="E5" s="17">
        <f>SUM(E6:E12)</f>
        <v>208.39001547475732</v>
      </c>
      <c r="F5" s="17">
        <f>SUM(F6:F12)</f>
        <v>2663.6504611980445</v>
      </c>
      <c r="G5" s="18"/>
      <c r="H5" s="17"/>
      <c r="I5" s="17"/>
      <c r="J5" s="17">
        <f>SUM(J6:J12)</f>
        <v>2.8884294606352001E-2</v>
      </c>
      <c r="K5" s="17"/>
      <c r="L5" s="17"/>
      <c r="M5" s="17"/>
      <c r="N5" s="17">
        <f>SUM(N6:N12)</f>
        <v>1152.0455601472081</v>
      </c>
      <c r="O5" s="17">
        <f>B38*B39*B40</f>
        <v>0</v>
      </c>
      <c r="P5" s="17">
        <f>B46*B47*B48/1000-B46*B47*B48/1000/B49</f>
        <v>19.066666666666666</v>
      </c>
      <c r="R5" s="32"/>
    </row>
    <row r="6" spans="1:18">
      <c r="A6" s="32" t="s">
        <v>54</v>
      </c>
      <c r="B6" s="37">
        <f>B26</f>
        <v>5156.6979598369298</v>
      </c>
      <c r="C6" s="33"/>
      <c r="D6" s="37">
        <f>IF(ISERROR(TER_kantoor_gas_kWh/1000),0,TER_kantoor_gas_kWh/1000)*0.902</f>
        <v>8326.0294991120463</v>
      </c>
      <c r="E6" s="33">
        <f>$C$26*'E Balans VL '!I12/100/3.6*1000000</f>
        <v>3.2320467721385748E-2</v>
      </c>
      <c r="F6" s="33">
        <f>$C$26*('E Balans VL '!L12+'E Balans VL '!N12)/100/3.6*1000000</f>
        <v>774.90761147990759</v>
      </c>
      <c r="G6" s="34"/>
      <c r="H6" s="33"/>
      <c r="I6" s="33"/>
      <c r="J6" s="33">
        <f>$C$26*('E Balans VL '!D12+'E Balans VL '!E12)/100/3.6*1000000</f>
        <v>0</v>
      </c>
      <c r="K6" s="33"/>
      <c r="L6" s="33"/>
      <c r="M6" s="33"/>
      <c r="N6" s="33">
        <f>$C$26*'E Balans VL '!Y12/100/3.6*1000000</f>
        <v>4.9316170342049963</v>
      </c>
      <c r="O6" s="33"/>
      <c r="P6" s="33"/>
      <c r="R6" s="32"/>
    </row>
    <row r="7" spans="1:18">
      <c r="A7" s="32" t="s">
        <v>53</v>
      </c>
      <c r="B7" s="37">
        <f t="shared" ref="B7:B12" si="0">B27</f>
        <v>1621.9985621465501</v>
      </c>
      <c r="C7" s="33"/>
      <c r="D7" s="37">
        <f>IF(ISERROR(TER_horeca_gas_kWh/1000),0,TER_horeca_gas_kWh/1000)*0.902</f>
        <v>2608.8941605602718</v>
      </c>
      <c r="E7" s="33">
        <f>$C$27*'E Balans VL '!I9/100/3.6*1000000</f>
        <v>23.226749236553726</v>
      </c>
      <c r="F7" s="33">
        <f>$C$27*('E Balans VL '!L9+'E Balans VL '!N9)/100/3.6*1000000</f>
        <v>205.39851354129598</v>
      </c>
      <c r="G7" s="34"/>
      <c r="H7" s="33"/>
      <c r="I7" s="33"/>
      <c r="J7" s="33">
        <f>$C$27*('E Balans VL '!D9+'E Balans VL '!E9)/100/3.6*1000000</f>
        <v>0</v>
      </c>
      <c r="K7" s="33"/>
      <c r="L7" s="33"/>
      <c r="M7" s="33"/>
      <c r="N7" s="33">
        <f>$C$27*'E Balans VL '!Y9/100/3.6*1000000</f>
        <v>0.4662888246186358</v>
      </c>
      <c r="O7" s="33"/>
      <c r="P7" s="33"/>
      <c r="R7" s="32"/>
    </row>
    <row r="8" spans="1:18">
      <c r="A8" s="6" t="s">
        <v>52</v>
      </c>
      <c r="B8" s="37">
        <f t="shared" si="0"/>
        <v>3615.3827484425801</v>
      </c>
      <c r="C8" s="33"/>
      <c r="D8" s="37">
        <f>IF(ISERROR(TER_handel_gas_kWh/1000),0,TER_handel_gas_kWh/1000)*0.902</f>
        <v>1378.9772043217706</v>
      </c>
      <c r="E8" s="33">
        <f>$C$28*'E Balans VL '!I13/100/3.6*1000000</f>
        <v>131.12948645698569</v>
      </c>
      <c r="F8" s="33">
        <f>$C$28*('E Balans VL '!L13+'E Balans VL '!N13)/100/3.6*1000000</f>
        <v>696.3593254278378</v>
      </c>
      <c r="G8" s="34"/>
      <c r="H8" s="33"/>
      <c r="I8" s="33"/>
      <c r="J8" s="33">
        <f>$C$28*('E Balans VL '!D13+'E Balans VL '!E13)/100/3.6*1000000</f>
        <v>0</v>
      </c>
      <c r="K8" s="33"/>
      <c r="L8" s="33"/>
      <c r="M8" s="33"/>
      <c r="N8" s="33">
        <f>$C$28*'E Balans VL '!Y13/100/3.6*1000000</f>
        <v>5.0081369690634352</v>
      </c>
      <c r="O8" s="33"/>
      <c r="P8" s="33"/>
      <c r="R8" s="32"/>
    </row>
    <row r="9" spans="1:18">
      <c r="A9" s="32" t="s">
        <v>51</v>
      </c>
      <c r="B9" s="37">
        <f t="shared" si="0"/>
        <v>173.39279559438</v>
      </c>
      <c r="C9" s="33"/>
      <c r="D9" s="37">
        <f>IF(ISERROR(TER_gezond_gas_kWh/1000),0,TER_gezond_gas_kWh/1000)*0.902</f>
        <v>476.48003403814096</v>
      </c>
      <c r="E9" s="33">
        <f>$C$29*'E Balans VL '!I10/100/3.6*1000000</f>
        <v>1.0856100948784012E-2</v>
      </c>
      <c r="F9" s="33">
        <f>$C$29*('E Balans VL '!L10+'E Balans VL '!N10)/100/3.6*1000000</f>
        <v>25.758027716330261</v>
      </c>
      <c r="G9" s="34"/>
      <c r="H9" s="33"/>
      <c r="I9" s="33"/>
      <c r="J9" s="33">
        <f>$C$29*('E Balans VL '!D10+'E Balans VL '!E10)/100/3.6*1000000</f>
        <v>0</v>
      </c>
      <c r="K9" s="33"/>
      <c r="L9" s="33"/>
      <c r="M9" s="33"/>
      <c r="N9" s="33">
        <f>$C$29*'E Balans VL '!Y10/100/3.6*1000000</f>
        <v>2.6820564932284778</v>
      </c>
      <c r="O9" s="33"/>
      <c r="P9" s="33"/>
      <c r="R9" s="32"/>
    </row>
    <row r="10" spans="1:18">
      <c r="A10" s="32" t="s">
        <v>50</v>
      </c>
      <c r="B10" s="37">
        <f t="shared" si="0"/>
        <v>863.16248594980698</v>
      </c>
      <c r="C10" s="33"/>
      <c r="D10" s="37">
        <f>IF(ISERROR(TER_ander_gas_kWh/1000),0,TER_ander_gas_kWh/1000)*0.902</f>
        <v>584.45472973250833</v>
      </c>
      <c r="E10" s="33">
        <f>$C$30*'E Balans VL '!I14/100/3.6*1000000</f>
        <v>1.0288588390366786</v>
      </c>
      <c r="F10" s="33">
        <f>$C$30*('E Balans VL '!L14+'E Balans VL '!N14)/100/3.6*1000000</f>
        <v>225.84167951464383</v>
      </c>
      <c r="G10" s="34"/>
      <c r="H10" s="33"/>
      <c r="I10" s="33"/>
      <c r="J10" s="33">
        <f>$C$30*('E Balans VL '!D14+'E Balans VL '!E14)/100/3.6*1000000</f>
        <v>1.873587406645055E-2</v>
      </c>
      <c r="K10" s="33"/>
      <c r="L10" s="33"/>
      <c r="M10" s="33"/>
      <c r="N10" s="33">
        <f>$C$30*'E Balans VL '!Y14/100/3.6*1000000</f>
        <v>732.97646177984802</v>
      </c>
      <c r="O10" s="33"/>
      <c r="P10" s="33"/>
      <c r="R10" s="32"/>
    </row>
    <row r="11" spans="1:18">
      <c r="A11" s="32" t="s">
        <v>55</v>
      </c>
      <c r="B11" s="37">
        <f t="shared" si="0"/>
        <v>60.905340698073999</v>
      </c>
      <c r="C11" s="33"/>
      <c r="D11" s="37">
        <f>IF(ISERROR(TER_onderwijs_gas_kWh/1000),0,TER_onderwijs_gas_kWh/1000)*0.902</f>
        <v>327.34229386909993</v>
      </c>
      <c r="E11" s="33">
        <f>$C$31*'E Balans VL '!I11/100/3.6*1000000</f>
        <v>0.91896349375469277</v>
      </c>
      <c r="F11" s="33">
        <f>$C$31*('E Balans VL '!L11+'E Balans VL '!N11)/100/3.6*1000000</f>
        <v>10.671588682066396</v>
      </c>
      <c r="G11" s="34"/>
      <c r="H11" s="33"/>
      <c r="I11" s="33"/>
      <c r="J11" s="33">
        <f>$C$31*('E Balans VL '!D11+'E Balans VL '!E11)/100/3.6*1000000</f>
        <v>0</v>
      </c>
      <c r="K11" s="33"/>
      <c r="L11" s="33"/>
      <c r="M11" s="33"/>
      <c r="N11" s="33">
        <f>$C$31*'E Balans VL '!Y11/100/3.6*1000000</f>
        <v>0.1713922589247068</v>
      </c>
      <c r="O11" s="33"/>
      <c r="P11" s="33"/>
      <c r="R11" s="32"/>
    </row>
    <row r="12" spans="1:18">
      <c r="A12" s="32" t="s">
        <v>260</v>
      </c>
      <c r="B12" s="37">
        <f t="shared" si="0"/>
        <v>4190.9208241387896</v>
      </c>
      <c r="C12" s="33"/>
      <c r="D12" s="37">
        <f>IF(ISERROR(TER_rest_gas_kWh/1000),0,TER_rest_gas_kWh/1000)*0.902</f>
        <v>17163.886925366878</v>
      </c>
      <c r="E12" s="33">
        <f>$C$32*'E Balans VL '!I8/100/3.6*1000000</f>
        <v>52.042780879756378</v>
      </c>
      <c r="F12" s="33">
        <f>$C$32*('E Balans VL '!L8+'E Balans VL '!N8)/100/3.6*1000000</f>
        <v>724.71371483596295</v>
      </c>
      <c r="G12" s="34"/>
      <c r="H12" s="33"/>
      <c r="I12" s="33"/>
      <c r="J12" s="33">
        <f>$C$32*('E Balans VL '!D8+'E Balans VL '!E8)/100/3.6*1000000</f>
        <v>1.0148420539901453E-2</v>
      </c>
      <c r="K12" s="33"/>
      <c r="L12" s="33"/>
      <c r="M12" s="33"/>
      <c r="N12" s="33">
        <f>$C$32*'E Balans VL '!Y8/100/3.6*1000000</f>
        <v>405.80960678731981</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15682.460716807112</v>
      </c>
      <c r="C16" s="21">
        <f t="shared" ca="1" si="1"/>
        <v>0</v>
      </c>
      <c r="D16" s="21">
        <f t="shared" ca="1" si="1"/>
        <v>30866.064847000715</v>
      </c>
      <c r="E16" s="21">
        <f t="shared" si="1"/>
        <v>208.39001547475732</v>
      </c>
      <c r="F16" s="21">
        <f t="shared" ca="1" si="1"/>
        <v>2663.6504611980445</v>
      </c>
      <c r="G16" s="21">
        <f t="shared" si="1"/>
        <v>0</v>
      </c>
      <c r="H16" s="21">
        <f t="shared" si="1"/>
        <v>0</v>
      </c>
      <c r="I16" s="21">
        <f t="shared" si="1"/>
        <v>0</v>
      </c>
      <c r="J16" s="21">
        <f t="shared" si="1"/>
        <v>2.8884294606352001E-2</v>
      </c>
      <c r="K16" s="21">
        <f t="shared" si="1"/>
        <v>0</v>
      </c>
      <c r="L16" s="21">
        <f t="shared" ca="1" si="1"/>
        <v>0</v>
      </c>
      <c r="M16" s="21">
        <f t="shared" si="1"/>
        <v>0</v>
      </c>
      <c r="N16" s="21">
        <f t="shared" ca="1" si="1"/>
        <v>1152.0455601472081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0.2076604304212121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3256.6265425159154</v>
      </c>
      <c r="C20" s="23">
        <f t="shared" ref="C20:P20" ca="1" si="2">C16*C18</f>
        <v>0</v>
      </c>
      <c r="D20" s="23">
        <f t="shared" ca="1" si="2"/>
        <v>6234.945099094145</v>
      </c>
      <c r="E20" s="23">
        <f t="shared" si="2"/>
        <v>47.304533512769915</v>
      </c>
      <c r="F20" s="23">
        <f t="shared" ca="1" si="2"/>
        <v>711.19467313987786</v>
      </c>
      <c r="G20" s="23">
        <f t="shared" si="2"/>
        <v>0</v>
      </c>
      <c r="H20" s="23">
        <f t="shared" si="2"/>
        <v>0</v>
      </c>
      <c r="I20" s="23">
        <f t="shared" si="2"/>
        <v>0</v>
      </c>
      <c r="J20" s="23">
        <f t="shared" si="2"/>
        <v>1.0225040290648607E-2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5156.6979598369298</v>
      </c>
      <c r="C26" s="39">
        <f>IF(ISERROR(B26*3.6/1000000/'E Balans VL '!Z12*100),0,B26*3.6/1000000/'E Balans VL '!Z12*100)</f>
        <v>0.10900442600154331</v>
      </c>
      <c r="D26" s="237" t="s">
        <v>754</v>
      </c>
      <c r="F26" s="6"/>
    </row>
    <row r="27" spans="1:18">
      <c r="A27" s="231" t="s">
        <v>53</v>
      </c>
      <c r="B27" s="33">
        <f>IF(ISERROR(TER_horeca_ele_kWh/1000),0,TER_horeca_ele_kWh/1000)</f>
        <v>1621.9985621465501</v>
      </c>
      <c r="C27" s="39">
        <f>IF(ISERROR(B27*3.6/1000000/'E Balans VL '!Z9*100),0,B27*3.6/1000000/'E Balans VL '!Z9*100)</f>
        <v>0.12786154210428505</v>
      </c>
      <c r="D27" s="237" t="s">
        <v>754</v>
      </c>
      <c r="F27" s="6"/>
    </row>
    <row r="28" spans="1:18">
      <c r="A28" s="171" t="s">
        <v>52</v>
      </c>
      <c r="B28" s="33">
        <f>IF(ISERROR(TER_handel_ele_kWh/1000),0,TER_handel_ele_kWh/1000)</f>
        <v>3615.3827484425801</v>
      </c>
      <c r="C28" s="39">
        <f>IF(ISERROR(B28*3.6/1000000/'E Balans VL '!Z13*100),0,B28*3.6/1000000/'E Balans VL '!Z13*100)</f>
        <v>0.10493301514299866</v>
      </c>
      <c r="D28" s="237" t="s">
        <v>754</v>
      </c>
      <c r="F28" s="6"/>
    </row>
    <row r="29" spans="1:18">
      <c r="A29" s="231" t="s">
        <v>51</v>
      </c>
      <c r="B29" s="33">
        <f>IF(ISERROR(TER_gezond_ele_kWh/1000),0,TER_gezond_ele_kWh/1000)</f>
        <v>173.39279559438</v>
      </c>
      <c r="C29" s="39">
        <f>IF(ISERROR(B29*3.6/1000000/'E Balans VL '!Z10*100),0,B29*3.6/1000000/'E Balans VL '!Z10*100)</f>
        <v>1.8261108560946548E-2</v>
      </c>
      <c r="D29" s="237" t="s">
        <v>754</v>
      </c>
      <c r="F29" s="6"/>
    </row>
    <row r="30" spans="1:18">
      <c r="A30" s="231" t="s">
        <v>50</v>
      </c>
      <c r="B30" s="33">
        <f>IF(ISERROR(TER_ander_ele_kWh/1000),0,TER_ander_ele_kWh/1000)</f>
        <v>863.16248594980698</v>
      </c>
      <c r="C30" s="39">
        <f>IF(ISERROR(B30*3.6/1000000/'E Balans VL '!Z14*100),0,B30*3.6/1000000/'E Balans VL '!Z14*100)</f>
        <v>6.366705244161712E-2</v>
      </c>
      <c r="D30" s="237" t="s">
        <v>754</v>
      </c>
      <c r="F30" s="6"/>
    </row>
    <row r="31" spans="1:18">
      <c r="A31" s="231" t="s">
        <v>55</v>
      </c>
      <c r="B31" s="33">
        <f>IF(ISERROR(TER_onderwijs_ele_kWh/1000),0,TER_onderwijs_ele_kWh/1000)</f>
        <v>60.905340698073999</v>
      </c>
      <c r="C31" s="39">
        <f>IF(ISERROR(B31*3.6/1000000/'E Balans VL '!Z11*100),0,B31*3.6/1000000/'E Balans VL '!Z11*100)</f>
        <v>1.5125649069507599E-2</v>
      </c>
      <c r="D31" s="237" t="s">
        <v>754</v>
      </c>
    </row>
    <row r="32" spans="1:18">
      <c r="A32" s="231" t="s">
        <v>260</v>
      </c>
      <c r="B32" s="33">
        <f>IF(ISERROR(TER_rest_ele_kWh/1000),0,TER_rest_ele_kWh/1000)</f>
        <v>4190.9208241387896</v>
      </c>
      <c r="C32" s="39">
        <f>IF(ISERROR(B32*3.6/1000000/'E Balans VL '!Z8*100),0,B32*3.6/1000000/'E Balans VL '!Z8*100)</f>
        <v>3.4485715500749817E-2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6723.3395467292285</v>
      </c>
      <c r="C5" s="17">
        <f>IF(ISERROR('Eigen informatie GS &amp; warmtenet'!B59),0,'Eigen informatie GS &amp; warmtenet'!B59)</f>
        <v>0</v>
      </c>
      <c r="D5" s="30">
        <f>SUM(D6:D15)</f>
        <v>1409.5089147785939</v>
      </c>
      <c r="E5" s="17">
        <f>SUM(E6:E15)</f>
        <v>756.26279769156179</v>
      </c>
      <c r="F5" s="17">
        <f>SUM(F6:F15)</f>
        <v>2315.502123259721</v>
      </c>
      <c r="G5" s="18"/>
      <c r="H5" s="17"/>
      <c r="I5" s="17"/>
      <c r="J5" s="17">
        <f>SUM(J6:J15)</f>
        <v>17.503663848401381</v>
      </c>
      <c r="K5" s="17"/>
      <c r="L5" s="17"/>
      <c r="M5" s="17"/>
      <c r="N5" s="17">
        <f>SUM(N6:N15)</f>
        <v>1656.0929250555837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28.889434542918501</v>
      </c>
      <c r="C8" s="33"/>
      <c r="D8" s="37">
        <f>IF( ISERROR(IND_metaal_Gas_kWH/1000),0,IND_metaal_Gas_kWH/1000)*0.902</f>
        <v>0</v>
      </c>
      <c r="E8" s="33">
        <f>C30*'E Balans VL '!I18/100/3.6*1000000</f>
        <v>0.26561044894090829</v>
      </c>
      <c r="F8" s="33">
        <f>C30*'E Balans VL '!L18/100/3.6*1000000+C30*'E Balans VL '!N18/100/3.6*1000000</f>
        <v>2.7088671334893202</v>
      </c>
      <c r="G8" s="34"/>
      <c r="H8" s="33"/>
      <c r="I8" s="33"/>
      <c r="J8" s="40">
        <f>C30*'E Balans VL '!D18/100/3.6*1000000+C30*'E Balans VL '!E18/100/3.6*1000000</f>
        <v>0</v>
      </c>
      <c r="K8" s="33"/>
      <c r="L8" s="33"/>
      <c r="M8" s="33"/>
      <c r="N8" s="33">
        <f>C30*'E Balans VL '!Y18/100/3.6*1000000</f>
        <v>0.41215552555577184</v>
      </c>
      <c r="O8" s="33"/>
      <c r="P8" s="33"/>
      <c r="R8" s="32"/>
    </row>
    <row r="9" spans="1:18">
      <c r="A9" s="6" t="s">
        <v>33</v>
      </c>
      <c r="B9" s="37">
        <f t="shared" si="0"/>
        <v>1661.62496103382</v>
      </c>
      <c r="C9" s="33"/>
      <c r="D9" s="37">
        <f>IF( ISERROR(IND_andere_gas_kWh/1000),0,IND_andere_gas_kWh/1000)*0.902</f>
        <v>684.2595592560474</v>
      </c>
      <c r="E9" s="33">
        <f>C31*'E Balans VL '!I19/100/3.6*1000000</f>
        <v>485.72532413274968</v>
      </c>
      <c r="F9" s="33">
        <f>C31*'E Balans VL '!L19/100/3.6*1000000+C31*'E Balans VL '!N19/100/3.6*1000000</f>
        <v>1335.2414296434149</v>
      </c>
      <c r="G9" s="34"/>
      <c r="H9" s="33"/>
      <c r="I9" s="33"/>
      <c r="J9" s="40">
        <f>C31*'E Balans VL '!D19/100/3.6*1000000+C31*'E Balans VL '!E19/100/3.6*1000000</f>
        <v>0</v>
      </c>
      <c r="K9" s="33"/>
      <c r="L9" s="33"/>
      <c r="M9" s="33"/>
      <c r="N9" s="33">
        <f>C31*'E Balans VL '!Y19/100/3.6*1000000</f>
        <v>549.02665710162694</v>
      </c>
      <c r="O9" s="33"/>
      <c r="P9" s="33"/>
      <c r="R9" s="32"/>
    </row>
    <row r="10" spans="1:18">
      <c r="A10" s="6" t="s">
        <v>41</v>
      </c>
      <c r="B10" s="37">
        <f t="shared" si="0"/>
        <v>143.50760315139999</v>
      </c>
      <c r="C10" s="33"/>
      <c r="D10" s="37">
        <f>IF( ISERROR(IND_voed_gas_kWh/1000),0,IND_voed_gas_kWh/1000)*0.902</f>
        <v>189.47544881638512</v>
      </c>
      <c r="E10" s="33">
        <f>C32*'E Balans VL '!I20/100/3.6*1000000</f>
        <v>0.30359255957852754</v>
      </c>
      <c r="F10" s="33">
        <f>C32*'E Balans VL '!L20/100/3.6*1000000+C32*'E Balans VL '!N20/100/3.6*1000000</f>
        <v>9.1243599970839835</v>
      </c>
      <c r="G10" s="34"/>
      <c r="H10" s="33"/>
      <c r="I10" s="33"/>
      <c r="J10" s="40">
        <f>C32*'E Balans VL '!D20/100/3.6*1000000+C32*'E Balans VL '!E20/100/3.6*1000000</f>
        <v>0</v>
      </c>
      <c r="K10" s="33"/>
      <c r="L10" s="33"/>
      <c r="M10" s="33"/>
      <c r="N10" s="33">
        <f>C32*'E Balans VL '!Y20/100/3.6*1000000</f>
        <v>9.9034407850779633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4889.3175480010905</v>
      </c>
      <c r="C15" s="33"/>
      <c r="D15" s="37">
        <f>IF( ISERROR(IND_rest_gas_kWh/1000),0,IND_rest_gas_kWh/1000)*0.902</f>
        <v>535.77390670616126</v>
      </c>
      <c r="E15" s="33">
        <f>C37*'E Balans VL '!I15/100/3.6*1000000</f>
        <v>269.96827055029269</v>
      </c>
      <c r="F15" s="33">
        <f>C37*'E Balans VL '!L15/100/3.6*1000000+C37*'E Balans VL '!N15/100/3.6*1000000</f>
        <v>968.42746648573291</v>
      </c>
      <c r="G15" s="34"/>
      <c r="H15" s="33"/>
      <c r="I15" s="33"/>
      <c r="J15" s="40">
        <f>C37*'E Balans VL '!D15/100/3.6*1000000+C37*'E Balans VL '!E15/100/3.6*1000000</f>
        <v>17.503663848401381</v>
      </c>
      <c r="K15" s="33"/>
      <c r="L15" s="33"/>
      <c r="M15" s="33"/>
      <c r="N15" s="33">
        <f>C37*'E Balans VL '!Y15/100/3.6*1000000</f>
        <v>1096.7506716433229</v>
      </c>
      <c r="O15" s="33"/>
      <c r="P15" s="33"/>
      <c r="R15" s="32"/>
    </row>
    <row r="16" spans="1:18">
      <c r="A16" s="16" t="s">
        <v>488</v>
      </c>
      <c r="B16" s="247">
        <f>'lokale energieproductie'!N90+'lokale energieproductie'!N59</f>
        <v>8.5</v>
      </c>
      <c r="C16" s="247">
        <f>'lokale energieproductie'!O90+'lokale energieproductie'!O59</f>
        <v>12.175675675675675</v>
      </c>
      <c r="D16" s="310">
        <f>('lokale energieproductie'!P59+'lokale energieproductie'!P90)*(-1)</f>
        <v>-22.972972972972972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6731.8395467292285</v>
      </c>
      <c r="C18" s="21">
        <f>C5+C16</f>
        <v>12.175675675675675</v>
      </c>
      <c r="D18" s="21">
        <f>MAX((D5+D16),0)</f>
        <v>1386.535941805621</v>
      </c>
      <c r="E18" s="21">
        <f>MAX((E5+E16),0)</f>
        <v>756.26279769156179</v>
      </c>
      <c r="F18" s="21">
        <f>MAX((F5+F16),0)</f>
        <v>2315.502123259721</v>
      </c>
      <c r="G18" s="21"/>
      <c r="H18" s="21"/>
      <c r="I18" s="21"/>
      <c r="J18" s="21">
        <f>MAX((J5+J16),0)</f>
        <v>17.503663848401381</v>
      </c>
      <c r="K18" s="21"/>
      <c r="L18" s="21">
        <f>MAX((L5+L16),0)</f>
        <v>0</v>
      </c>
      <c r="M18" s="21"/>
      <c r="N18" s="21">
        <f>MAX((N5+N16),0)</f>
        <v>1656.0929250555837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0.2076604304212121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1397.9366978003291</v>
      </c>
      <c r="C22" s="23">
        <f ca="1">C18*C20</f>
        <v>2.7327627627627624</v>
      </c>
      <c r="D22" s="23">
        <f>D18*D20</f>
        <v>280.08026024473543</v>
      </c>
      <c r="E22" s="23">
        <f>E18*E20</f>
        <v>171.67165507598452</v>
      </c>
      <c r="F22" s="23">
        <f>F18*F20</f>
        <v>618.23906691034551</v>
      </c>
      <c r="G22" s="23"/>
      <c r="H22" s="23"/>
      <c r="I22" s="23"/>
      <c r="J22" s="23">
        <f>J18*J20</f>
        <v>6.1962970023340889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28.889434542918501</v>
      </c>
      <c r="C30" s="39">
        <f>IF(ISERROR(B30*3.6/1000000/'E Balans VL '!Z18*100),0,B30*3.6/1000000/'E Balans VL '!Z18*100)</f>
        <v>1.6372383329023772E-3</v>
      </c>
      <c r="D30" s="237" t="s">
        <v>754</v>
      </c>
    </row>
    <row r="31" spans="1:18">
      <c r="A31" s="6" t="s">
        <v>33</v>
      </c>
      <c r="B31" s="37">
        <f>IF( ISERROR(IND_ander_ele_kWh/1000),0,IND_ander_ele_kWh/1000)</f>
        <v>1661.62496103382</v>
      </c>
      <c r="C31" s="39">
        <f>IF(ISERROR(B31*3.6/1000000/'E Balans VL '!Z19*100),0,B31*3.6/1000000/'E Balans VL '!Z19*100)</f>
        <v>7.5364389346577423E-2</v>
      </c>
      <c r="D31" s="237" t="s">
        <v>754</v>
      </c>
    </row>
    <row r="32" spans="1:18">
      <c r="A32" s="171" t="s">
        <v>41</v>
      </c>
      <c r="B32" s="37">
        <f>IF( ISERROR(IND_voed_ele_kWh/1000),0,IND_voed_ele_kWh/1000)</f>
        <v>143.50760315139999</v>
      </c>
      <c r="C32" s="39">
        <f>IF(ISERROR(B32*3.6/1000000/'E Balans VL '!Z20*100),0,B32*3.6/1000000/'E Balans VL '!Z20*100)</f>
        <v>4.4393416349839598E-3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4889.3175480010905</v>
      </c>
      <c r="C37" s="39">
        <f>IF(ISERROR(B37*3.6/1000000/'E Balans VL '!Z15*100),0,B37*3.6/1000000/'E Balans VL '!Z15*100)</f>
        <v>3.8753846220928985E-2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759.80454147543401</v>
      </c>
      <c r="C5" s="17">
        <f>'Eigen informatie GS &amp; warmtenet'!B60</f>
        <v>0</v>
      </c>
      <c r="D5" s="30">
        <f>IF(ISERROR(SUM(LB_lb_gas_kWh,LB_rest_gas_kWh)/1000),0,SUM(LB_lb_gas_kWh,LB_rest_gas_kWh)/1000)*0.902</f>
        <v>237.86475636819912</v>
      </c>
      <c r="E5" s="17">
        <f>B17*'E Balans VL '!I25/3.6*1000000/100</f>
        <v>22.332976184892605</v>
      </c>
      <c r="F5" s="17">
        <f>B17*('E Balans VL '!L25/3.6*1000000+'E Balans VL '!N25/3.6*1000000)/100</f>
        <v>3165.304662104259</v>
      </c>
      <c r="G5" s="18"/>
      <c r="H5" s="17"/>
      <c r="I5" s="17"/>
      <c r="J5" s="17">
        <f>('E Balans VL '!D25+'E Balans VL '!E25)/3.6*1000000*landbouw!B17/100</f>
        <v>110.07936107048346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759.80454147543401</v>
      </c>
      <c r="C8" s="21">
        <f>C5+C6</f>
        <v>0</v>
      </c>
      <c r="D8" s="21">
        <f>MAX((D5+D6),0)</f>
        <v>237.86475636819912</v>
      </c>
      <c r="E8" s="21">
        <f>MAX((E5+E6),0)</f>
        <v>22.332976184892605</v>
      </c>
      <c r="F8" s="21">
        <f>MAX((F5+F6),0)</f>
        <v>3165.304662104259</v>
      </c>
      <c r="G8" s="21"/>
      <c r="H8" s="21"/>
      <c r="I8" s="21"/>
      <c r="J8" s="21">
        <f>MAX((J5+J6),0)</f>
        <v>110.07936107048346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0.2076604304212121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157.78133811878033</v>
      </c>
      <c r="C12" s="23">
        <f ca="1">C8*C10</f>
        <v>0</v>
      </c>
      <c r="D12" s="23">
        <f>D8*D10</f>
        <v>48.048680786376224</v>
      </c>
      <c r="E12" s="23">
        <f>E8*E10</f>
        <v>5.0695855939706211</v>
      </c>
      <c r="F12" s="23">
        <f>F8*F10</f>
        <v>845.13634478183724</v>
      </c>
      <c r="G12" s="23"/>
      <c r="H12" s="23"/>
      <c r="I12" s="23"/>
      <c r="J12" s="23">
        <f>J8*J10</f>
        <v>38.968093818951139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0.10781864824941405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153.89775312774381</v>
      </c>
      <c r="C26" s="247">
        <f>B26*'GWP N2O_CH4'!B5</f>
        <v>3231.8528156826201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16.564967524469875</v>
      </c>
      <c r="C27" s="247">
        <f>B27*'GWP N2O_CH4'!B5</f>
        <v>347.86431801386738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2.0550916836653852</v>
      </c>
      <c r="C28" s="247">
        <f>B28*'GWP N2O_CH4'!B4</f>
        <v>637.07842193626936</v>
      </c>
      <c r="D28" s="50"/>
    </row>
    <row r="29" spans="1:4">
      <c r="A29" s="41" t="s">
        <v>277</v>
      </c>
      <c r="B29" s="247">
        <f>B34*'ha_N2O bodem landbouw'!B4</f>
        <v>11.620015202836683</v>
      </c>
      <c r="C29" s="247">
        <f>B29*'GWP N2O_CH4'!B4</f>
        <v>3602.2047128793715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2.6516474249334856E-3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4.1227940982007023E-4</v>
      </c>
      <c r="C5" s="463" t="s">
        <v>211</v>
      </c>
      <c r="D5" s="448">
        <f>SUM(D6:D11)</f>
        <v>1.4018513711207344E-3</v>
      </c>
      <c r="E5" s="448">
        <f>SUM(E6:E11)</f>
        <v>2.1247964419049089E-3</v>
      </c>
      <c r="F5" s="461" t="s">
        <v>211</v>
      </c>
      <c r="G5" s="448">
        <f>SUM(G6:G11)</f>
        <v>0.74409217293629915</v>
      </c>
      <c r="H5" s="448">
        <f>SUM(H6:H11)</f>
        <v>0.16194196809694578</v>
      </c>
      <c r="I5" s="463" t="s">
        <v>211</v>
      </c>
      <c r="J5" s="463" t="s">
        <v>211</v>
      </c>
      <c r="K5" s="463" t="s">
        <v>211</v>
      </c>
      <c r="L5" s="463" t="s">
        <v>211</v>
      </c>
      <c r="M5" s="448">
        <f>SUM(M6:M11)</f>
        <v>4.8251232941494603E-2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1.2633369559344839E-4</v>
      </c>
      <c r="C6" s="449"/>
      <c r="D6" s="892">
        <f>vkm_2011_GW_PW*SUMIFS(TableVerdeelsleutelVkm[CNG],TableVerdeelsleutelVkm[Voertuigtype],"Lichte voertuigen")*SUMIFS(TableECFTransport[EnergieConsumptieFactor (PJ per km)],TableECFTransport[Index],CONCATENATE($A6,"_CNG_CNG"))</f>
        <v>3.7892857783455982E-4</v>
      </c>
      <c r="E6" s="892">
        <f>vkm_2011_GW_PW*SUMIFS(TableVerdeelsleutelVkm[LPG],TableVerdeelsleutelVkm[Voertuigtype],"Lichte voertuigen")*SUMIFS(TableECFTransport[EnergieConsumptieFactor (PJ per km)],TableECFTransport[Index],CONCATENATE($A6,"_LPG_LPG"))</f>
        <v>5.1767086772976133E-4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0.13384595599350538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4.3098765573432382E-2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9.0912899549180914E-3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3.6024491730672015E-2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1.0979533058117332E-5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2.1051497570041548E-3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5.7281212816695021E-5</v>
      </c>
      <c r="C8" s="449"/>
      <c r="D8" s="451">
        <f>vkm_2011_NGW_PW*SUMIFS(TableVerdeelsleutelVkm[CNG],TableVerdeelsleutelVkm[Voertuigtype],"Lichte voertuigen")*SUMIFS(TableECFTransport[EnergieConsumptieFactor (PJ per km)],TableECFTransport[Index],CONCATENATE($A8,"_CNG_CNG"))</f>
        <v>3.0548145956529866E-4</v>
      </c>
      <c r="E8" s="451">
        <f>vkm_2011_NGW_PW*SUMIFS(TableVerdeelsleutelVkm[LPG],TableVerdeelsleutelVkm[Voertuigtype],"Lichte voertuigen")*SUMIFS(TableECFTransport[EnergieConsumptieFactor (PJ per km)],TableECFTransport[Index],CONCATENATE($A8,"_LPG_LPG"))</f>
        <v>3.8649637522751568E-4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9.312441519987473E-2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3.3764530820385823E-2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6.436758995411491E-3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1.7086044875391747E-2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4.902391640645728E-6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9.9844182040959364E-4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2.2866450140992679E-4</v>
      </c>
      <c r="C10" s="449"/>
      <c r="D10" s="451">
        <f>vkm_2011_SW_PW*SUMIFS(TableVerdeelsleutelVkm[CNG],TableVerdeelsleutelVkm[Voertuigtype],"Lichte voertuigen")*SUMIFS(TableECFTransport[EnergieConsumptieFactor (PJ per km)],TableECFTransport[Index],CONCATENATE($A10,"_CNG_CNG"))</f>
        <v>7.17441333720876E-4</v>
      </c>
      <c r="E10" s="451">
        <f>vkm_2011_SW_PW*SUMIFS(TableVerdeelsleutelVkm[LPG],TableVerdeelsleutelVkm[Voertuigtype],"Lichte voertuigen")*SUMIFS(TableECFTransport[EnergieConsumptieFactor (PJ per km)],TableECFTransport[Index],CONCATENATE($A10,"_LPG_LPG"))</f>
        <v>1.2206291989476318E-3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0.28135779593406018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8.5002673309842069E-2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1.8945808757020281E-2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0.18265346920279513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6.011646858673449E-5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1.067378365673099E-2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114.52205828335283</v>
      </c>
      <c r="C14" s="21"/>
      <c r="D14" s="21">
        <f t="shared" ref="D14:M14" si="0">((D5)*10^9/3600)+D12</f>
        <v>389.40315864464844</v>
      </c>
      <c r="E14" s="21">
        <f t="shared" si="0"/>
        <v>590.22123386247472</v>
      </c>
      <c r="F14" s="21"/>
      <c r="G14" s="21">
        <f t="shared" si="0"/>
        <v>206692.27026008311</v>
      </c>
      <c r="H14" s="21">
        <f t="shared" si="0"/>
        <v>44983.880026929379</v>
      </c>
      <c r="I14" s="21"/>
      <c r="J14" s="21"/>
      <c r="K14" s="21"/>
      <c r="L14" s="21"/>
      <c r="M14" s="21">
        <f t="shared" si="0"/>
        <v>13403.120261526277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0.2076604304212121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23.78169991584419</v>
      </c>
      <c r="C18" s="23"/>
      <c r="D18" s="23">
        <f t="shared" ref="D18:M18" si="1">D14*D16</f>
        <v>78.659438046218995</v>
      </c>
      <c r="E18" s="23">
        <f t="shared" si="1"/>
        <v>133.98022008678177</v>
      </c>
      <c r="F18" s="23"/>
      <c r="G18" s="23">
        <f t="shared" si="1"/>
        <v>55186.836159442195</v>
      </c>
      <c r="H18" s="23">
        <f t="shared" si="1"/>
        <v>11200.986126705415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1.6283414371673671E-2</v>
      </c>
      <c r="H50" s="321">
        <f t="shared" si="2"/>
        <v>0</v>
      </c>
      <c r="I50" s="321">
        <f t="shared" si="2"/>
        <v>0</v>
      </c>
      <c r="J50" s="321">
        <f t="shared" si="2"/>
        <v>0</v>
      </c>
      <c r="K50" s="321">
        <f t="shared" si="2"/>
        <v>0</v>
      </c>
      <c r="L50" s="321">
        <f t="shared" si="2"/>
        <v>0</v>
      </c>
      <c r="M50" s="321">
        <f t="shared" si="2"/>
        <v>9.248260519345192E-4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1.6283414371673671E-2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9.248260519345192E-4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4523.1706587982417</v>
      </c>
      <c r="H54" s="21">
        <f t="shared" si="3"/>
        <v>0</v>
      </c>
      <c r="I54" s="21">
        <f t="shared" si="3"/>
        <v>0</v>
      </c>
      <c r="J54" s="21">
        <f t="shared" si="3"/>
        <v>0</v>
      </c>
      <c r="K54" s="21">
        <f t="shared" si="3"/>
        <v>0</v>
      </c>
      <c r="L54" s="21">
        <f t="shared" si="3"/>
        <v>0</v>
      </c>
      <c r="M54" s="21">
        <f t="shared" si="3"/>
        <v>256.89612553736646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0.2076604304212121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1207.6865658991305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17779.635716807112</v>
      </c>
      <c r="D10" s="1013">
        <f ca="1">tertiair!C16</f>
        <v>0</v>
      </c>
      <c r="E10" s="1013">
        <f ca="1">tertiair!D16</f>
        <v>30866.064847000715</v>
      </c>
      <c r="F10" s="1013">
        <f>tertiair!E16</f>
        <v>208.39001547475732</v>
      </c>
      <c r="G10" s="1013">
        <f ca="1">tertiair!F16</f>
        <v>2663.6504611980445</v>
      </c>
      <c r="H10" s="1013">
        <f>tertiair!G16</f>
        <v>0</v>
      </c>
      <c r="I10" s="1013">
        <f>tertiair!H16</f>
        <v>0</v>
      </c>
      <c r="J10" s="1013">
        <f>tertiair!I16</f>
        <v>0</v>
      </c>
      <c r="K10" s="1013">
        <f>tertiair!J16</f>
        <v>2.8884294606352001E-2</v>
      </c>
      <c r="L10" s="1013">
        <f>tertiair!K16</f>
        <v>0</v>
      </c>
      <c r="M10" s="1013">
        <f ca="1">tertiair!L16</f>
        <v>0</v>
      </c>
      <c r="N10" s="1013">
        <f>tertiair!M16</f>
        <v>0</v>
      </c>
      <c r="O10" s="1013">
        <f ca="1">tertiair!N16</f>
        <v>1152.0455601472081</v>
      </c>
      <c r="P10" s="1013">
        <f>tertiair!O16</f>
        <v>0</v>
      </c>
      <c r="Q10" s="1014">
        <f>tertiair!P16</f>
        <v>19.066666666666666</v>
      </c>
      <c r="R10" s="700">
        <f ca="1">SUM(C10:Q10)</f>
        <v>52688.882151589103</v>
      </c>
      <c r="S10" s="67"/>
    </row>
    <row r="11" spans="1:19" s="473" customFormat="1">
      <c r="A11" s="809" t="s">
        <v>225</v>
      </c>
      <c r="B11" s="814"/>
      <c r="C11" s="1013">
        <f>huishoudens!B8</f>
        <v>34816.656152475807</v>
      </c>
      <c r="D11" s="1013">
        <f>huishoudens!C8</f>
        <v>0</v>
      </c>
      <c r="E11" s="1013">
        <f>huishoudens!D8</f>
        <v>85569.07878470303</v>
      </c>
      <c r="F11" s="1013">
        <f>huishoudens!E8</f>
        <v>1770.5792450263368</v>
      </c>
      <c r="G11" s="1013">
        <f>huishoudens!F8</f>
        <v>29406.504796072739</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6917.0678919430702</v>
      </c>
      <c r="P11" s="1013">
        <f>huishoudens!O8</f>
        <v>217.30333333333337</v>
      </c>
      <c r="Q11" s="1014">
        <f>huishoudens!P8</f>
        <v>896.13333333333333</v>
      </c>
      <c r="R11" s="700">
        <f>SUM(C11:Q11)</f>
        <v>159593.32353688765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6731.8395467292285</v>
      </c>
      <c r="D13" s="1013">
        <f>industrie!C18</f>
        <v>12.175675675675675</v>
      </c>
      <c r="E13" s="1013">
        <f>industrie!D18</f>
        <v>1386.535941805621</v>
      </c>
      <c r="F13" s="1013">
        <f>industrie!E18</f>
        <v>756.26279769156179</v>
      </c>
      <c r="G13" s="1013">
        <f>industrie!F18</f>
        <v>2315.502123259721</v>
      </c>
      <c r="H13" s="1013">
        <f>industrie!G18</f>
        <v>0</v>
      </c>
      <c r="I13" s="1013">
        <f>industrie!H18</f>
        <v>0</v>
      </c>
      <c r="J13" s="1013">
        <f>industrie!I18</f>
        <v>0</v>
      </c>
      <c r="K13" s="1013">
        <f>industrie!J18</f>
        <v>17.503663848401381</v>
      </c>
      <c r="L13" s="1013">
        <f>industrie!K18</f>
        <v>0</v>
      </c>
      <c r="M13" s="1013">
        <f>industrie!L18</f>
        <v>0</v>
      </c>
      <c r="N13" s="1013">
        <f>industrie!M18</f>
        <v>0</v>
      </c>
      <c r="O13" s="1013">
        <f>industrie!N18</f>
        <v>1656.0929250555837</v>
      </c>
      <c r="P13" s="1013">
        <f>industrie!O18</f>
        <v>0</v>
      </c>
      <c r="Q13" s="1014">
        <f>industrie!P18</f>
        <v>0</v>
      </c>
      <c r="R13" s="700">
        <f>SUM(C13:Q13)</f>
        <v>12875.912674065792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59328.131416012147</v>
      </c>
      <c r="D16" s="732">
        <f t="shared" ref="D16:R16" ca="1" si="0">SUM(D9:D15)</f>
        <v>12.175675675675675</v>
      </c>
      <c r="E16" s="732">
        <f t="shared" ca="1" si="0"/>
        <v>117821.67957350936</v>
      </c>
      <c r="F16" s="732">
        <f t="shared" si="0"/>
        <v>2735.232058192656</v>
      </c>
      <c r="G16" s="732">
        <f t="shared" ca="1" si="0"/>
        <v>34385.657380530509</v>
      </c>
      <c r="H16" s="732">
        <f t="shared" si="0"/>
        <v>0</v>
      </c>
      <c r="I16" s="732">
        <f t="shared" si="0"/>
        <v>0</v>
      </c>
      <c r="J16" s="732">
        <f t="shared" si="0"/>
        <v>0</v>
      </c>
      <c r="K16" s="732">
        <f t="shared" si="0"/>
        <v>17.532548143007734</v>
      </c>
      <c r="L16" s="732">
        <f t="shared" si="0"/>
        <v>0</v>
      </c>
      <c r="M16" s="732">
        <f t="shared" ca="1" si="0"/>
        <v>0</v>
      </c>
      <c r="N16" s="732">
        <f t="shared" si="0"/>
        <v>0</v>
      </c>
      <c r="O16" s="732">
        <f t="shared" ca="1" si="0"/>
        <v>9725.2063771458616</v>
      </c>
      <c r="P16" s="732">
        <f t="shared" si="0"/>
        <v>217.30333333333337</v>
      </c>
      <c r="Q16" s="732">
        <f t="shared" si="0"/>
        <v>915.2</v>
      </c>
      <c r="R16" s="732">
        <f t="shared" ca="1" si="0"/>
        <v>225158.11836254253</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4523.1706587982417</v>
      </c>
      <c r="I19" s="1013">
        <f>transport!H54</f>
        <v>0</v>
      </c>
      <c r="J19" s="1013">
        <f>transport!I54</f>
        <v>0</v>
      </c>
      <c r="K19" s="1013">
        <f>transport!J54</f>
        <v>0</v>
      </c>
      <c r="L19" s="1013">
        <f>transport!K54</f>
        <v>0</v>
      </c>
      <c r="M19" s="1013">
        <f>transport!L54</f>
        <v>0</v>
      </c>
      <c r="N19" s="1013">
        <f>transport!M54</f>
        <v>256.89612553736646</v>
      </c>
      <c r="O19" s="1013">
        <f>transport!N54</f>
        <v>0</v>
      </c>
      <c r="P19" s="1013">
        <f>transport!O54</f>
        <v>0</v>
      </c>
      <c r="Q19" s="1014">
        <f>transport!P54</f>
        <v>0</v>
      </c>
      <c r="R19" s="700">
        <f>SUM(C19:Q19)</f>
        <v>4780.0667843356077</v>
      </c>
      <c r="S19" s="67"/>
    </row>
    <row r="20" spans="1:19" s="473" customFormat="1">
      <c r="A20" s="809" t="s">
        <v>307</v>
      </c>
      <c r="B20" s="814"/>
      <c r="C20" s="1013">
        <f>transport!B14</f>
        <v>114.52205828335283</v>
      </c>
      <c r="D20" s="1013">
        <f>transport!C14</f>
        <v>0</v>
      </c>
      <c r="E20" s="1013">
        <f>transport!D14</f>
        <v>389.40315864464844</v>
      </c>
      <c r="F20" s="1013">
        <f>transport!E14</f>
        <v>590.22123386247472</v>
      </c>
      <c r="G20" s="1013">
        <f>transport!F14</f>
        <v>0</v>
      </c>
      <c r="H20" s="1013">
        <f>transport!G14</f>
        <v>206692.27026008311</v>
      </c>
      <c r="I20" s="1013">
        <f>transport!H14</f>
        <v>44983.880026929379</v>
      </c>
      <c r="J20" s="1013">
        <f>transport!I14</f>
        <v>0</v>
      </c>
      <c r="K20" s="1013">
        <f>transport!J14</f>
        <v>0</v>
      </c>
      <c r="L20" s="1013">
        <f>transport!K14</f>
        <v>0</v>
      </c>
      <c r="M20" s="1013">
        <f>transport!L14</f>
        <v>0</v>
      </c>
      <c r="N20" s="1013">
        <f>transport!M14</f>
        <v>13403.120261526277</v>
      </c>
      <c r="O20" s="1013">
        <f>transport!N14</f>
        <v>0</v>
      </c>
      <c r="P20" s="1013">
        <f>transport!O14</f>
        <v>0</v>
      </c>
      <c r="Q20" s="1014">
        <f>transport!P14</f>
        <v>0</v>
      </c>
      <c r="R20" s="700">
        <f>SUM(C20:Q20)</f>
        <v>266173.41699932923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114.52205828335283</v>
      </c>
      <c r="D22" s="812">
        <f t="shared" ref="D22:R22" si="1">SUM(D18:D21)</f>
        <v>0</v>
      </c>
      <c r="E22" s="812">
        <f t="shared" si="1"/>
        <v>389.40315864464844</v>
      </c>
      <c r="F22" s="812">
        <f t="shared" si="1"/>
        <v>590.22123386247472</v>
      </c>
      <c r="G22" s="812">
        <f t="shared" si="1"/>
        <v>0</v>
      </c>
      <c r="H22" s="812">
        <f t="shared" si="1"/>
        <v>211215.44091888136</v>
      </c>
      <c r="I22" s="812">
        <f t="shared" si="1"/>
        <v>44983.880026929379</v>
      </c>
      <c r="J22" s="812">
        <f t="shared" si="1"/>
        <v>0</v>
      </c>
      <c r="K22" s="812">
        <f t="shared" si="1"/>
        <v>0</v>
      </c>
      <c r="L22" s="812">
        <f t="shared" si="1"/>
        <v>0</v>
      </c>
      <c r="M22" s="812">
        <f t="shared" si="1"/>
        <v>0</v>
      </c>
      <c r="N22" s="812">
        <f t="shared" si="1"/>
        <v>13660.016387063644</v>
      </c>
      <c r="O22" s="812">
        <f t="shared" si="1"/>
        <v>0</v>
      </c>
      <c r="P22" s="812">
        <f t="shared" si="1"/>
        <v>0</v>
      </c>
      <c r="Q22" s="812">
        <f t="shared" si="1"/>
        <v>0</v>
      </c>
      <c r="R22" s="812">
        <f t="shared" si="1"/>
        <v>270953.48378366482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759.80454147543401</v>
      </c>
      <c r="D24" s="1013">
        <f>+landbouw!C8</f>
        <v>0</v>
      </c>
      <c r="E24" s="1013">
        <f>+landbouw!D8</f>
        <v>237.86475636819912</v>
      </c>
      <c r="F24" s="1013">
        <f>+landbouw!E8</f>
        <v>22.332976184892605</v>
      </c>
      <c r="G24" s="1013">
        <f>+landbouw!F8</f>
        <v>3165.304662104259</v>
      </c>
      <c r="H24" s="1013">
        <f>+landbouw!G8</f>
        <v>0</v>
      </c>
      <c r="I24" s="1013">
        <f>+landbouw!H8</f>
        <v>0</v>
      </c>
      <c r="J24" s="1013">
        <f>+landbouw!I8</f>
        <v>0</v>
      </c>
      <c r="K24" s="1013">
        <f>+landbouw!J8</f>
        <v>110.07936107048346</v>
      </c>
      <c r="L24" s="1013">
        <f>+landbouw!K8</f>
        <v>0</v>
      </c>
      <c r="M24" s="1013">
        <f>+landbouw!L8</f>
        <v>0</v>
      </c>
      <c r="N24" s="1013">
        <f>+landbouw!M8</f>
        <v>0</v>
      </c>
      <c r="O24" s="1013">
        <f>+landbouw!N8</f>
        <v>0</v>
      </c>
      <c r="P24" s="1013">
        <f>+landbouw!O8</f>
        <v>0</v>
      </c>
      <c r="Q24" s="1014">
        <f>+landbouw!P8</f>
        <v>0</v>
      </c>
      <c r="R24" s="700">
        <f>SUM(C24:Q24)</f>
        <v>4295.3862972032675</v>
      </c>
      <c r="S24" s="67"/>
    </row>
    <row r="25" spans="1:19" s="473" customFormat="1" ht="15" thickBot="1">
      <c r="A25" s="831" t="s">
        <v>836</v>
      </c>
      <c r="B25" s="1016"/>
      <c r="C25" s="1017">
        <f>IF(Onbekend_ele_kWh="---",0,Onbekend_ele_kWh)/1000+IF(REST_rest_ele_kWh="---",0,REST_rest_ele_kWh)/1000</f>
        <v>1098.82055971963</v>
      </c>
      <c r="D25" s="1017"/>
      <c r="E25" s="1017">
        <f>IF(onbekend_gas_kWh="---",0,onbekend_gas_kWh)/1000+IF(REST_rest_gas_kWh="---",0,REST_rest_gas_kWh)/1000</f>
        <v>2610.4082998914</v>
      </c>
      <c r="F25" s="1017"/>
      <c r="G25" s="1017"/>
      <c r="H25" s="1017"/>
      <c r="I25" s="1017"/>
      <c r="J25" s="1017"/>
      <c r="K25" s="1017"/>
      <c r="L25" s="1017"/>
      <c r="M25" s="1017"/>
      <c r="N25" s="1017"/>
      <c r="O25" s="1017"/>
      <c r="P25" s="1017"/>
      <c r="Q25" s="1018"/>
      <c r="R25" s="700">
        <f>SUM(C25:Q25)</f>
        <v>3709.2288596110302</v>
      </c>
      <c r="S25" s="67"/>
    </row>
    <row r="26" spans="1:19" s="473" customFormat="1" ht="15.75" thickBot="1">
      <c r="A26" s="705" t="s">
        <v>837</v>
      </c>
      <c r="B26" s="817"/>
      <c r="C26" s="812">
        <f>SUM(C24:C25)</f>
        <v>1858.625101195064</v>
      </c>
      <c r="D26" s="812">
        <f t="shared" ref="D26:R26" si="2">SUM(D24:D25)</f>
        <v>0</v>
      </c>
      <c r="E26" s="812">
        <f t="shared" si="2"/>
        <v>2848.2730562595993</v>
      </c>
      <c r="F26" s="812">
        <f t="shared" si="2"/>
        <v>22.332976184892605</v>
      </c>
      <c r="G26" s="812">
        <f t="shared" si="2"/>
        <v>3165.304662104259</v>
      </c>
      <c r="H26" s="812">
        <f t="shared" si="2"/>
        <v>0</v>
      </c>
      <c r="I26" s="812">
        <f t="shared" si="2"/>
        <v>0</v>
      </c>
      <c r="J26" s="812">
        <f t="shared" si="2"/>
        <v>0</v>
      </c>
      <c r="K26" s="812">
        <f t="shared" si="2"/>
        <v>110.07936107048346</v>
      </c>
      <c r="L26" s="812">
        <f t="shared" si="2"/>
        <v>0</v>
      </c>
      <c r="M26" s="812">
        <f t="shared" si="2"/>
        <v>0</v>
      </c>
      <c r="N26" s="812">
        <f t="shared" si="2"/>
        <v>0</v>
      </c>
      <c r="O26" s="812">
        <f t="shared" si="2"/>
        <v>0</v>
      </c>
      <c r="P26" s="812">
        <f t="shared" si="2"/>
        <v>0</v>
      </c>
      <c r="Q26" s="812">
        <f t="shared" si="2"/>
        <v>0</v>
      </c>
      <c r="R26" s="812">
        <f t="shared" si="2"/>
        <v>8004.6151568142977</v>
      </c>
      <c r="S26" s="67"/>
    </row>
    <row r="27" spans="1:19" s="473" customFormat="1" ht="17.25" thickTop="1" thickBot="1">
      <c r="A27" s="706" t="s">
        <v>116</v>
      </c>
      <c r="B27" s="805"/>
      <c r="C27" s="707">
        <f ca="1">C22+C16+C26</f>
        <v>61301.278575490564</v>
      </c>
      <c r="D27" s="707">
        <f t="shared" ref="D27:R27" ca="1" si="3">D22+D16+D26</f>
        <v>12.175675675675675</v>
      </c>
      <c r="E27" s="707">
        <f t="shared" ca="1" si="3"/>
        <v>121059.35578841361</v>
      </c>
      <c r="F27" s="707">
        <f t="shared" si="3"/>
        <v>3347.7862682400237</v>
      </c>
      <c r="G27" s="707">
        <f t="shared" ca="1" si="3"/>
        <v>37550.962042634768</v>
      </c>
      <c r="H27" s="707">
        <f t="shared" si="3"/>
        <v>211215.44091888136</v>
      </c>
      <c r="I27" s="707">
        <f t="shared" si="3"/>
        <v>44983.880026929379</v>
      </c>
      <c r="J27" s="707">
        <f t="shared" si="3"/>
        <v>0</v>
      </c>
      <c r="K27" s="707">
        <f t="shared" si="3"/>
        <v>127.61190921349119</v>
      </c>
      <c r="L27" s="707">
        <f t="shared" si="3"/>
        <v>0</v>
      </c>
      <c r="M27" s="707">
        <f t="shared" ca="1" si="3"/>
        <v>0</v>
      </c>
      <c r="N27" s="707">
        <f t="shared" si="3"/>
        <v>13660.016387063644</v>
      </c>
      <c r="O27" s="707">
        <f t="shared" ca="1" si="3"/>
        <v>9725.2063771458616</v>
      </c>
      <c r="P27" s="707">
        <f t="shared" si="3"/>
        <v>217.30333333333337</v>
      </c>
      <c r="Q27" s="707">
        <f t="shared" si="3"/>
        <v>915.2</v>
      </c>
      <c r="R27" s="707">
        <f t="shared" ca="1" si="3"/>
        <v>504116.21730302164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3692.1268056845211</v>
      </c>
      <c r="D40" s="1013">
        <f ca="1">tertiair!C20</f>
        <v>0</v>
      </c>
      <c r="E40" s="1013">
        <f ca="1">tertiair!D20</f>
        <v>6234.945099094145</v>
      </c>
      <c r="F40" s="1013">
        <f>tertiair!E20</f>
        <v>47.304533512769915</v>
      </c>
      <c r="G40" s="1013">
        <f ca="1">tertiair!F20</f>
        <v>711.19467313987786</v>
      </c>
      <c r="H40" s="1013">
        <f>tertiair!G20</f>
        <v>0</v>
      </c>
      <c r="I40" s="1013">
        <f>tertiair!H20</f>
        <v>0</v>
      </c>
      <c r="J40" s="1013">
        <f>tertiair!I20</f>
        <v>0</v>
      </c>
      <c r="K40" s="1013">
        <f>tertiair!J20</f>
        <v>1.0225040290648607E-2</v>
      </c>
      <c r="L40" s="1013">
        <f>tertiair!K20</f>
        <v>0</v>
      </c>
      <c r="M40" s="1013">
        <f ca="1">tertiair!L20</f>
        <v>0</v>
      </c>
      <c r="N40" s="1013">
        <f>tertiair!M20</f>
        <v>0</v>
      </c>
      <c r="O40" s="1013">
        <f ca="1">tertiair!N20</f>
        <v>0</v>
      </c>
      <c r="P40" s="1013">
        <f>tertiair!O20</f>
        <v>0</v>
      </c>
      <c r="Q40" s="774">
        <f>tertiair!P20</f>
        <v>0</v>
      </c>
      <c r="R40" s="850">
        <f t="shared" ca="1" si="4"/>
        <v>10685.581336471605</v>
      </c>
    </row>
    <row r="41" spans="1:18">
      <c r="A41" s="822" t="s">
        <v>225</v>
      </c>
      <c r="B41" s="829"/>
      <c r="C41" s="1013">
        <f ca="1">huishoudens!B12</f>
        <v>7230.0418024504688</v>
      </c>
      <c r="D41" s="1013">
        <f ca="1">huishoudens!C12</f>
        <v>0</v>
      </c>
      <c r="E41" s="1013">
        <f>huishoudens!D12</f>
        <v>17284.953914510013</v>
      </c>
      <c r="F41" s="1013">
        <f>huishoudens!E12</f>
        <v>401.92148862097849</v>
      </c>
      <c r="G41" s="1013">
        <f>huishoudens!F12</f>
        <v>7851.5367805514215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32768.453986132881</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1397.9366978003291</v>
      </c>
      <c r="D43" s="1013">
        <f ca="1">industrie!C22</f>
        <v>2.7327627627627624</v>
      </c>
      <c r="E43" s="1013">
        <f>industrie!D22</f>
        <v>280.08026024473543</v>
      </c>
      <c r="F43" s="1013">
        <f>industrie!E22</f>
        <v>171.67165507598452</v>
      </c>
      <c r="G43" s="1013">
        <f>industrie!F22</f>
        <v>618.23906691034551</v>
      </c>
      <c r="H43" s="1013">
        <f>industrie!G22</f>
        <v>0</v>
      </c>
      <c r="I43" s="1013">
        <f>industrie!H22</f>
        <v>0</v>
      </c>
      <c r="J43" s="1013">
        <f>industrie!I22</f>
        <v>0</v>
      </c>
      <c r="K43" s="1013">
        <f>industrie!J22</f>
        <v>6.1962970023340889</v>
      </c>
      <c r="L43" s="1013">
        <f>industrie!K22</f>
        <v>0</v>
      </c>
      <c r="M43" s="1013">
        <f>industrie!L22</f>
        <v>0</v>
      </c>
      <c r="N43" s="1013">
        <f>industrie!M22</f>
        <v>0</v>
      </c>
      <c r="O43" s="1013">
        <f>industrie!N22</f>
        <v>0</v>
      </c>
      <c r="P43" s="1013">
        <f>industrie!O22</f>
        <v>0</v>
      </c>
      <c r="Q43" s="774">
        <f>industrie!P22</f>
        <v>0</v>
      </c>
      <c r="R43" s="849">
        <f t="shared" ca="1" si="4"/>
        <v>2476.8567397964916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12320.10530593532</v>
      </c>
      <c r="D46" s="732">
        <f t="shared" ref="D46:Q46" ca="1" si="5">SUM(D39:D45)</f>
        <v>2.7327627627627624</v>
      </c>
      <c r="E46" s="732">
        <f t="shared" ca="1" si="5"/>
        <v>23799.979273848894</v>
      </c>
      <c r="F46" s="732">
        <f t="shared" si="5"/>
        <v>620.89767720973293</v>
      </c>
      <c r="G46" s="732">
        <f t="shared" ca="1" si="5"/>
        <v>9180.9705206016461</v>
      </c>
      <c r="H46" s="732">
        <f t="shared" si="5"/>
        <v>0</v>
      </c>
      <c r="I46" s="732">
        <f t="shared" si="5"/>
        <v>0</v>
      </c>
      <c r="J46" s="732">
        <f t="shared" si="5"/>
        <v>0</v>
      </c>
      <c r="K46" s="732">
        <f t="shared" si="5"/>
        <v>6.2065220426247372</v>
      </c>
      <c r="L46" s="732">
        <f t="shared" si="5"/>
        <v>0</v>
      </c>
      <c r="M46" s="732">
        <f t="shared" ca="1" si="5"/>
        <v>0</v>
      </c>
      <c r="N46" s="732">
        <f t="shared" si="5"/>
        <v>0</v>
      </c>
      <c r="O46" s="732">
        <f t="shared" ca="1" si="5"/>
        <v>0</v>
      </c>
      <c r="P46" s="732">
        <f t="shared" si="5"/>
        <v>0</v>
      </c>
      <c r="Q46" s="732">
        <f t="shared" si="5"/>
        <v>0</v>
      </c>
      <c r="R46" s="732">
        <f ca="1">SUM(R39:R45)</f>
        <v>45930.892062400977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1207.6865658991305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1207.6865658991305</v>
      </c>
    </row>
    <row r="50" spans="1:18">
      <c r="A50" s="825" t="s">
        <v>307</v>
      </c>
      <c r="B50" s="835"/>
      <c r="C50" s="703">
        <f ca="1">transport!B18</f>
        <v>23.78169991584419</v>
      </c>
      <c r="D50" s="703">
        <f>transport!C18</f>
        <v>0</v>
      </c>
      <c r="E50" s="703">
        <f>transport!D18</f>
        <v>78.659438046218995</v>
      </c>
      <c r="F50" s="703">
        <f>transport!E18</f>
        <v>133.98022008678177</v>
      </c>
      <c r="G50" s="703">
        <f>transport!F18</f>
        <v>0</v>
      </c>
      <c r="H50" s="703">
        <f>transport!G18</f>
        <v>55186.836159442195</v>
      </c>
      <c r="I50" s="703">
        <f>transport!H18</f>
        <v>11200.986126705415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66624.243644196453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23.78169991584419</v>
      </c>
      <c r="D52" s="732">
        <f t="shared" ref="D52:Q52" ca="1" si="6">SUM(D48:D51)</f>
        <v>0</v>
      </c>
      <c r="E52" s="732">
        <f t="shared" si="6"/>
        <v>78.659438046218995</v>
      </c>
      <c r="F52" s="732">
        <f t="shared" si="6"/>
        <v>133.98022008678177</v>
      </c>
      <c r="G52" s="732">
        <f t="shared" si="6"/>
        <v>0</v>
      </c>
      <c r="H52" s="732">
        <f t="shared" si="6"/>
        <v>56394.522725341325</v>
      </c>
      <c r="I52" s="732">
        <f t="shared" si="6"/>
        <v>11200.986126705415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67831.930210095583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157.78133811878033</v>
      </c>
      <c r="D54" s="703">
        <f ca="1">+landbouw!C12</f>
        <v>0</v>
      </c>
      <c r="E54" s="703">
        <f>+landbouw!D12</f>
        <v>48.048680786376224</v>
      </c>
      <c r="F54" s="703">
        <f>+landbouw!E12</f>
        <v>5.0695855939706211</v>
      </c>
      <c r="G54" s="703">
        <f>+landbouw!F12</f>
        <v>845.13634478183724</v>
      </c>
      <c r="H54" s="703">
        <f>+landbouw!G12</f>
        <v>0</v>
      </c>
      <c r="I54" s="703">
        <f>+landbouw!H12</f>
        <v>0</v>
      </c>
      <c r="J54" s="703">
        <f>+landbouw!I12</f>
        <v>0</v>
      </c>
      <c r="K54" s="703">
        <f>+landbouw!J12</f>
        <v>38.968093818951139</v>
      </c>
      <c r="L54" s="703">
        <f>+landbouw!K12</f>
        <v>0</v>
      </c>
      <c r="M54" s="703">
        <f>+landbouw!L12</f>
        <v>0</v>
      </c>
      <c r="N54" s="703">
        <f>+landbouw!M12</f>
        <v>0</v>
      </c>
      <c r="O54" s="703">
        <f>+landbouw!N12</f>
        <v>0</v>
      </c>
      <c r="P54" s="703">
        <f>+landbouw!O12</f>
        <v>0</v>
      </c>
      <c r="Q54" s="704">
        <f>+landbouw!P12</f>
        <v>0</v>
      </c>
      <c r="R54" s="731">
        <f ca="1">SUM(C54:Q54)</f>
        <v>1095.0040430999154</v>
      </c>
    </row>
    <row r="55" spans="1:18" ht="15" thickBot="1">
      <c r="A55" s="825" t="s">
        <v>836</v>
      </c>
      <c r="B55" s="835"/>
      <c r="C55" s="703">
        <f ca="1">C25*'EF ele_warmte'!B12</f>
        <v>228.18155038705555</v>
      </c>
      <c r="D55" s="703"/>
      <c r="E55" s="703">
        <f>E25*EF_CO2_aardgas</f>
        <v>527.30247657806285</v>
      </c>
      <c r="F55" s="703"/>
      <c r="G55" s="703"/>
      <c r="H55" s="703"/>
      <c r="I55" s="703"/>
      <c r="J55" s="703"/>
      <c r="K55" s="703"/>
      <c r="L55" s="703"/>
      <c r="M55" s="703"/>
      <c r="N55" s="703"/>
      <c r="O55" s="703"/>
      <c r="P55" s="703"/>
      <c r="Q55" s="704"/>
      <c r="R55" s="731">
        <f ca="1">SUM(C55:Q55)</f>
        <v>755.48402696511835</v>
      </c>
    </row>
    <row r="56" spans="1:18" ht="15.75" thickBot="1">
      <c r="A56" s="823" t="s">
        <v>837</v>
      </c>
      <c r="B56" s="836"/>
      <c r="C56" s="732">
        <f ca="1">SUM(C54:C55)</f>
        <v>385.96288850583585</v>
      </c>
      <c r="D56" s="732">
        <f t="shared" ref="D56:Q56" ca="1" si="7">SUM(D54:D55)</f>
        <v>0</v>
      </c>
      <c r="E56" s="732">
        <f t="shared" si="7"/>
        <v>575.35115736443913</v>
      </c>
      <c r="F56" s="732">
        <f t="shared" si="7"/>
        <v>5.0695855939706211</v>
      </c>
      <c r="G56" s="732">
        <f t="shared" si="7"/>
        <v>845.13634478183724</v>
      </c>
      <c r="H56" s="732">
        <f t="shared" si="7"/>
        <v>0</v>
      </c>
      <c r="I56" s="732">
        <f t="shared" si="7"/>
        <v>0</v>
      </c>
      <c r="J56" s="732">
        <f t="shared" si="7"/>
        <v>0</v>
      </c>
      <c r="K56" s="732">
        <f t="shared" si="7"/>
        <v>38.968093818951139</v>
      </c>
      <c r="L56" s="732">
        <f t="shared" si="7"/>
        <v>0</v>
      </c>
      <c r="M56" s="732">
        <f t="shared" si="7"/>
        <v>0</v>
      </c>
      <c r="N56" s="732">
        <f t="shared" si="7"/>
        <v>0</v>
      </c>
      <c r="O56" s="732">
        <f t="shared" si="7"/>
        <v>0</v>
      </c>
      <c r="P56" s="732">
        <f t="shared" si="7"/>
        <v>0</v>
      </c>
      <c r="Q56" s="733">
        <f t="shared" si="7"/>
        <v>0</v>
      </c>
      <c r="R56" s="734">
        <f ca="1">SUM(R54:R55)</f>
        <v>1850.4880700650338</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12729.849894356999</v>
      </c>
      <c r="D61" s="740">
        <f t="shared" ref="D61:Q61" ca="1" si="8">D46+D52+D56</f>
        <v>2.7327627627627624</v>
      </c>
      <c r="E61" s="740">
        <f t="shared" ca="1" si="8"/>
        <v>24453.989869259553</v>
      </c>
      <c r="F61" s="740">
        <f t="shared" si="8"/>
        <v>759.94748289048528</v>
      </c>
      <c r="G61" s="740">
        <f t="shared" ca="1" si="8"/>
        <v>10026.106865383483</v>
      </c>
      <c r="H61" s="740">
        <f t="shared" si="8"/>
        <v>56394.522725341325</v>
      </c>
      <c r="I61" s="740">
        <f t="shared" si="8"/>
        <v>11200.986126705415</v>
      </c>
      <c r="J61" s="740">
        <f t="shared" si="8"/>
        <v>0</v>
      </c>
      <c r="K61" s="740">
        <f t="shared" si="8"/>
        <v>45.174615861575873</v>
      </c>
      <c r="L61" s="740">
        <f t="shared" si="8"/>
        <v>0</v>
      </c>
      <c r="M61" s="740">
        <f t="shared" ca="1" si="8"/>
        <v>0</v>
      </c>
      <c r="N61" s="740">
        <f t="shared" si="8"/>
        <v>0</v>
      </c>
      <c r="O61" s="740">
        <f t="shared" ca="1" si="8"/>
        <v>0</v>
      </c>
      <c r="P61" s="740">
        <f t="shared" si="8"/>
        <v>0</v>
      </c>
      <c r="Q61" s="740">
        <f t="shared" si="8"/>
        <v>0</v>
      </c>
      <c r="R61" s="740">
        <f ca="1">R46+R52+R56</f>
        <v>115613.3103425616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0.20766043042121213</v>
      </c>
      <c r="D63" s="781">
        <f t="shared" ca="1" si="9"/>
        <v>0.22444444444444442</v>
      </c>
      <c r="E63" s="1024">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3700.2803104262211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8.5</v>
      </c>
      <c r="D76" s="1034">
        <f>'lokale energieproductie'!C8</f>
        <v>9.4444444444444429</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1.9077777777777776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3700.2803104262211</v>
      </c>
      <c r="C78" s="755">
        <f>SUM(C72:C77)</f>
        <v>8.5</v>
      </c>
      <c r="D78" s="756">
        <f t="shared" ref="D78:H78" si="10">SUM(D76:D77)</f>
        <v>9.4444444444444429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1.9077777777777776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12.175675675675675</v>
      </c>
      <c r="D87" s="777">
        <f>'lokale energieproductie'!C17</f>
        <v>13.528528528528525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2.7327627627627624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12.175675675675675</v>
      </c>
      <c r="D90" s="755">
        <f t="shared" ref="D90:H90" si="12">SUM(D87:D89)</f>
        <v>13.528528528528525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2.7327627627627624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3700.2803104262211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8.5</v>
      </c>
      <c r="C8" s="570">
        <f>B101</f>
        <v>9.4444444444444429</v>
      </c>
      <c r="D8" s="1044"/>
      <c r="E8" s="1044">
        <f>E101</f>
        <v>0</v>
      </c>
      <c r="F8" s="1045"/>
      <c r="G8" s="571"/>
      <c r="H8" s="1044">
        <f>I101</f>
        <v>0</v>
      </c>
      <c r="I8" s="1044">
        <f>G101+F101</f>
        <v>0</v>
      </c>
      <c r="J8" s="1044">
        <f>H101+D101+C101</f>
        <v>0</v>
      </c>
      <c r="K8" s="1044"/>
      <c r="L8" s="1044"/>
      <c r="M8" s="1044"/>
      <c r="N8" s="572"/>
      <c r="O8" s="573">
        <f>C8*$C$12+D8*$D$12+E8*$E$12+F8*$F$12+G8*$G$12+H8*$H$12+I8*$I$12+J8*$J$12</f>
        <v>1.9077777777777776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3708.7803104262211</v>
      </c>
      <c r="C10" s="583">
        <f t="shared" ref="C10:L10" si="0">SUM(C8:C9)</f>
        <v>9.4444444444444429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1.9077777777777776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12.175675675675675</v>
      </c>
      <c r="C17" s="595">
        <f>B102</f>
        <v>13.528528528528525</v>
      </c>
      <c r="D17" s="596"/>
      <c r="E17" s="596">
        <f>E102</f>
        <v>0</v>
      </c>
      <c r="F17" s="1050"/>
      <c r="G17" s="597"/>
      <c r="H17" s="595">
        <f>I102</f>
        <v>0</v>
      </c>
      <c r="I17" s="596">
        <f>G102+F102</f>
        <v>0</v>
      </c>
      <c r="J17" s="596">
        <f>H102+D102+C102</f>
        <v>0</v>
      </c>
      <c r="K17" s="596"/>
      <c r="L17" s="596"/>
      <c r="M17" s="596"/>
      <c r="N17" s="1051"/>
      <c r="O17" s="598">
        <f>C17*$C$22+E17*$E$22+H17*$H$22+I17*$I$22+J17*$J$22+D17*$D$22+F17*$F$22+G17*$G$22+K17*$K$22+L17*$L$22</f>
        <v>2.7327627627627624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12.175675675675675</v>
      </c>
      <c r="C20" s="582">
        <f>SUM(C17:C19)</f>
        <v>13.528528528528525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2.7327627627627624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23050</v>
      </c>
      <c r="C28" s="796">
        <v>1860</v>
      </c>
      <c r="D28" s="653" t="s">
        <v>881</v>
      </c>
      <c r="E28" s="652" t="s">
        <v>882</v>
      </c>
      <c r="F28" s="652" t="s">
        <v>883</v>
      </c>
      <c r="G28" s="652" t="s">
        <v>884</v>
      </c>
      <c r="H28" s="652" t="s">
        <v>884</v>
      </c>
      <c r="I28" s="652" t="s">
        <v>882</v>
      </c>
      <c r="J28" s="795">
        <v>42118</v>
      </c>
      <c r="K28" s="795">
        <v>42118</v>
      </c>
      <c r="L28" s="652" t="s">
        <v>885</v>
      </c>
      <c r="M28" s="652">
        <v>1.7</v>
      </c>
      <c r="N28" s="652">
        <v>8.5</v>
      </c>
      <c r="O28" s="652">
        <v>12.175675675675675</v>
      </c>
      <c r="P28" s="652">
        <v>22.972972972972972</v>
      </c>
      <c r="Q28" s="652">
        <v>0</v>
      </c>
      <c r="R28" s="652">
        <v>0</v>
      </c>
      <c r="S28" s="652">
        <v>0</v>
      </c>
      <c r="T28" s="652">
        <v>0</v>
      </c>
      <c r="U28" s="652">
        <v>0</v>
      </c>
      <c r="V28" s="652">
        <v>0</v>
      </c>
      <c r="W28" s="652">
        <v>0</v>
      </c>
      <c r="X28" s="652">
        <v>16000</v>
      </c>
      <c r="Y28" s="652" t="s">
        <v>886</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1.7</v>
      </c>
      <c r="N58" s="610">
        <f>SUM(N28:N57)</f>
        <v>8.5</v>
      </c>
      <c r="O58" s="610">
        <f t="shared" ref="O58:W58" si="2">SUM(O28:O57)</f>
        <v>12.175675675675675</v>
      </c>
      <c r="P58" s="610">
        <f t="shared" si="2"/>
        <v>22.972972972972972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1.7</v>
      </c>
      <c r="N59" s="610">
        <f t="shared" si="3"/>
        <v>8.5</v>
      </c>
      <c r="O59" s="610">
        <f t="shared" si="3"/>
        <v>12.175675675675675</v>
      </c>
      <c r="P59" s="610">
        <f t="shared" si="3"/>
        <v>22.972972972972972</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0.5888888888888888</v>
      </c>
      <c r="C98" s="635">
        <f>IF(ISERROR(N58/(O58+N58)),0,N58/(N58+O58))</f>
        <v>0.41111111111111109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9.4444444444444429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13.528528528528525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34816.656152475807</v>
      </c>
      <c r="C4" s="477">
        <f>huishoudens!C8</f>
        <v>0</v>
      </c>
      <c r="D4" s="477">
        <f>huishoudens!D8</f>
        <v>85569.07878470303</v>
      </c>
      <c r="E4" s="477">
        <f>huishoudens!E8</f>
        <v>1770.5792450263368</v>
      </c>
      <c r="F4" s="477">
        <f>huishoudens!F8</f>
        <v>29406.504796072739</v>
      </c>
      <c r="G4" s="477">
        <f>huishoudens!G8</f>
        <v>0</v>
      </c>
      <c r="H4" s="477">
        <f>huishoudens!H8</f>
        <v>0</v>
      </c>
      <c r="I4" s="477">
        <f>huishoudens!I8</f>
        <v>0</v>
      </c>
      <c r="J4" s="477">
        <f>huishoudens!J8</f>
        <v>0</v>
      </c>
      <c r="K4" s="477">
        <f>huishoudens!K8</f>
        <v>0</v>
      </c>
      <c r="L4" s="477">
        <f>huishoudens!L8</f>
        <v>0</v>
      </c>
      <c r="M4" s="477">
        <f>huishoudens!M8</f>
        <v>0</v>
      </c>
      <c r="N4" s="477">
        <f>huishoudens!N8</f>
        <v>6917.0678919430702</v>
      </c>
      <c r="O4" s="477">
        <f>huishoudens!O8</f>
        <v>217.30333333333337</v>
      </c>
      <c r="P4" s="478">
        <f>huishoudens!P8</f>
        <v>896.13333333333333</v>
      </c>
      <c r="Q4" s="479">
        <f>SUM(B4:P4)</f>
        <v>159593.32353688765</v>
      </c>
    </row>
    <row r="5" spans="1:17">
      <c r="A5" s="476" t="s">
        <v>156</v>
      </c>
      <c r="B5" s="477">
        <f ca="1">tertiair!B16</f>
        <v>15682.460716807112</v>
      </c>
      <c r="C5" s="477">
        <f ca="1">tertiair!C16</f>
        <v>0</v>
      </c>
      <c r="D5" s="477">
        <f ca="1">tertiair!D16</f>
        <v>30866.064847000715</v>
      </c>
      <c r="E5" s="477">
        <f>tertiair!E16</f>
        <v>208.39001547475732</v>
      </c>
      <c r="F5" s="477">
        <f ca="1">tertiair!F16</f>
        <v>2663.6504611980445</v>
      </c>
      <c r="G5" s="477">
        <f>tertiair!G16</f>
        <v>0</v>
      </c>
      <c r="H5" s="477">
        <f>tertiair!H16</f>
        <v>0</v>
      </c>
      <c r="I5" s="477">
        <f>tertiair!I16</f>
        <v>0</v>
      </c>
      <c r="J5" s="477">
        <f>tertiair!J16</f>
        <v>2.8884294606352001E-2</v>
      </c>
      <c r="K5" s="477">
        <f>tertiair!K16</f>
        <v>0</v>
      </c>
      <c r="L5" s="477">
        <f ca="1">tertiair!L16</f>
        <v>0</v>
      </c>
      <c r="M5" s="477">
        <f>tertiair!M16</f>
        <v>0</v>
      </c>
      <c r="N5" s="477">
        <f ca="1">tertiair!N16</f>
        <v>1152.0455601472081</v>
      </c>
      <c r="O5" s="477">
        <f>tertiair!O16</f>
        <v>0</v>
      </c>
      <c r="P5" s="478">
        <f>tertiair!P16</f>
        <v>19.066666666666666</v>
      </c>
      <c r="Q5" s="476">
        <f t="shared" ref="Q5:Q14" ca="1" si="0">SUM(B5:P5)</f>
        <v>50591.7071515891</v>
      </c>
    </row>
    <row r="6" spans="1:17">
      <c r="A6" s="476" t="s">
        <v>194</v>
      </c>
      <c r="B6" s="477">
        <f>'openbare verlichting'!B8</f>
        <v>2097.1750000000002</v>
      </c>
      <c r="C6" s="477"/>
      <c r="D6" s="477"/>
      <c r="E6" s="477"/>
      <c r="F6" s="477"/>
      <c r="G6" s="477"/>
      <c r="H6" s="477"/>
      <c r="I6" s="477"/>
      <c r="J6" s="477"/>
      <c r="K6" s="477"/>
      <c r="L6" s="477"/>
      <c r="M6" s="477"/>
      <c r="N6" s="477"/>
      <c r="O6" s="477"/>
      <c r="P6" s="478"/>
      <c r="Q6" s="476">
        <f t="shared" si="0"/>
        <v>2097.1750000000002</v>
      </c>
    </row>
    <row r="7" spans="1:17">
      <c r="A7" s="476" t="s">
        <v>112</v>
      </c>
      <c r="B7" s="477">
        <f>landbouw!B8</f>
        <v>759.80454147543401</v>
      </c>
      <c r="C7" s="477">
        <f>landbouw!C8</f>
        <v>0</v>
      </c>
      <c r="D7" s="477">
        <f>landbouw!D8</f>
        <v>237.86475636819912</v>
      </c>
      <c r="E7" s="477">
        <f>landbouw!E8</f>
        <v>22.332976184892605</v>
      </c>
      <c r="F7" s="477">
        <f>landbouw!F8</f>
        <v>3165.304662104259</v>
      </c>
      <c r="G7" s="477">
        <f>landbouw!G8</f>
        <v>0</v>
      </c>
      <c r="H7" s="477">
        <f>landbouw!H8</f>
        <v>0</v>
      </c>
      <c r="I7" s="477">
        <f>landbouw!I8</f>
        <v>0</v>
      </c>
      <c r="J7" s="477">
        <f>landbouw!J8</f>
        <v>110.07936107048346</v>
      </c>
      <c r="K7" s="477">
        <f>landbouw!K8</f>
        <v>0</v>
      </c>
      <c r="L7" s="477">
        <f>landbouw!L8</f>
        <v>0</v>
      </c>
      <c r="M7" s="477">
        <f>landbouw!M8</f>
        <v>0</v>
      </c>
      <c r="N7" s="477">
        <f>landbouw!N8</f>
        <v>0</v>
      </c>
      <c r="O7" s="477">
        <f>landbouw!O8</f>
        <v>0</v>
      </c>
      <c r="P7" s="478">
        <f>landbouw!P8</f>
        <v>0</v>
      </c>
      <c r="Q7" s="476">
        <f t="shared" si="0"/>
        <v>4295.3862972032675</v>
      </c>
    </row>
    <row r="8" spans="1:17">
      <c r="A8" s="476" t="s">
        <v>635</v>
      </c>
      <c r="B8" s="477">
        <f>industrie!B18</f>
        <v>6731.8395467292285</v>
      </c>
      <c r="C8" s="477">
        <f>industrie!C18</f>
        <v>12.175675675675675</v>
      </c>
      <c r="D8" s="477">
        <f>industrie!D18</f>
        <v>1386.535941805621</v>
      </c>
      <c r="E8" s="477">
        <f>industrie!E18</f>
        <v>756.26279769156179</v>
      </c>
      <c r="F8" s="477">
        <f>industrie!F18</f>
        <v>2315.502123259721</v>
      </c>
      <c r="G8" s="477">
        <f>industrie!G18</f>
        <v>0</v>
      </c>
      <c r="H8" s="477">
        <f>industrie!H18</f>
        <v>0</v>
      </c>
      <c r="I8" s="477">
        <f>industrie!I18</f>
        <v>0</v>
      </c>
      <c r="J8" s="477">
        <f>industrie!J18</f>
        <v>17.503663848401381</v>
      </c>
      <c r="K8" s="477">
        <f>industrie!K18</f>
        <v>0</v>
      </c>
      <c r="L8" s="477">
        <f>industrie!L18</f>
        <v>0</v>
      </c>
      <c r="M8" s="477">
        <f>industrie!M18</f>
        <v>0</v>
      </c>
      <c r="N8" s="477">
        <f>industrie!N18</f>
        <v>1656.0929250555837</v>
      </c>
      <c r="O8" s="477">
        <f>industrie!O18</f>
        <v>0</v>
      </c>
      <c r="P8" s="478">
        <f>industrie!P18</f>
        <v>0</v>
      </c>
      <c r="Q8" s="476">
        <f t="shared" si="0"/>
        <v>12875.912674065792</v>
      </c>
    </row>
    <row r="9" spans="1:17" s="482" customFormat="1">
      <c r="A9" s="480" t="s">
        <v>561</v>
      </c>
      <c r="B9" s="481">
        <f>transport!B14</f>
        <v>114.52205828335283</v>
      </c>
      <c r="C9" s="481">
        <f>transport!C14</f>
        <v>0</v>
      </c>
      <c r="D9" s="481">
        <f>transport!D14</f>
        <v>389.40315864464844</v>
      </c>
      <c r="E9" s="481">
        <f>transport!E14</f>
        <v>590.22123386247472</v>
      </c>
      <c r="F9" s="481">
        <f>transport!F14</f>
        <v>0</v>
      </c>
      <c r="G9" s="481">
        <f>transport!G14</f>
        <v>206692.27026008311</v>
      </c>
      <c r="H9" s="481">
        <f>transport!H14</f>
        <v>44983.880026929379</v>
      </c>
      <c r="I9" s="481">
        <f>transport!I14</f>
        <v>0</v>
      </c>
      <c r="J9" s="481">
        <f>transport!J14</f>
        <v>0</v>
      </c>
      <c r="K9" s="481">
        <f>transport!K14</f>
        <v>0</v>
      </c>
      <c r="L9" s="481">
        <f>transport!L14</f>
        <v>0</v>
      </c>
      <c r="M9" s="481">
        <f>transport!M14</f>
        <v>13403.120261526277</v>
      </c>
      <c r="N9" s="481">
        <f>transport!N14</f>
        <v>0</v>
      </c>
      <c r="O9" s="481">
        <f>transport!O14</f>
        <v>0</v>
      </c>
      <c r="P9" s="481">
        <f>transport!P14</f>
        <v>0</v>
      </c>
      <c r="Q9" s="480">
        <f>SUM(B9:P9)</f>
        <v>266173.41699932923</v>
      </c>
    </row>
    <row r="10" spans="1:17">
      <c r="A10" s="476" t="s">
        <v>551</v>
      </c>
      <c r="B10" s="477">
        <f>transport!B54</f>
        <v>0</v>
      </c>
      <c r="C10" s="477">
        <f>transport!C54</f>
        <v>0</v>
      </c>
      <c r="D10" s="477">
        <f>transport!D54</f>
        <v>0</v>
      </c>
      <c r="E10" s="477">
        <f>transport!E54</f>
        <v>0</v>
      </c>
      <c r="F10" s="477">
        <f>transport!F54</f>
        <v>0</v>
      </c>
      <c r="G10" s="477">
        <f>transport!G54</f>
        <v>4523.1706587982417</v>
      </c>
      <c r="H10" s="477">
        <f>transport!H54</f>
        <v>0</v>
      </c>
      <c r="I10" s="477">
        <f>transport!I54</f>
        <v>0</v>
      </c>
      <c r="J10" s="477">
        <f>transport!J54</f>
        <v>0</v>
      </c>
      <c r="K10" s="477">
        <f>transport!K54</f>
        <v>0</v>
      </c>
      <c r="L10" s="477">
        <f>transport!L54</f>
        <v>0</v>
      </c>
      <c r="M10" s="477">
        <f>transport!M54</f>
        <v>256.89612553736646</v>
      </c>
      <c r="N10" s="477">
        <f>transport!N54</f>
        <v>0</v>
      </c>
      <c r="O10" s="477">
        <f>transport!O54</f>
        <v>0</v>
      </c>
      <c r="P10" s="478">
        <f>transport!P54</f>
        <v>0</v>
      </c>
      <c r="Q10" s="476">
        <f t="shared" si="0"/>
        <v>4780.0667843356077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1098.82055971963</v>
      </c>
      <c r="C14" s="484"/>
      <c r="D14" s="484">
        <f>'SEAP template'!E25</f>
        <v>2610.4082998914</v>
      </c>
      <c r="E14" s="484"/>
      <c r="F14" s="484"/>
      <c r="G14" s="484"/>
      <c r="H14" s="484"/>
      <c r="I14" s="484"/>
      <c r="J14" s="484"/>
      <c r="K14" s="484"/>
      <c r="L14" s="484"/>
      <c r="M14" s="484"/>
      <c r="N14" s="484"/>
      <c r="O14" s="484"/>
      <c r="P14" s="485"/>
      <c r="Q14" s="476">
        <f t="shared" si="0"/>
        <v>3709.2288596110302</v>
      </c>
    </row>
    <row r="15" spans="1:17" s="486" customFormat="1">
      <c r="A15" s="1039" t="s">
        <v>555</v>
      </c>
      <c r="B15" s="987">
        <f ca="1">SUM(B4:B14)</f>
        <v>61301.278575490564</v>
      </c>
      <c r="C15" s="987">
        <f t="shared" ref="C15:Q15" ca="1" si="1">SUM(C4:C14)</f>
        <v>12.175675675675675</v>
      </c>
      <c r="D15" s="987">
        <f t="shared" ca="1" si="1"/>
        <v>121059.35578841361</v>
      </c>
      <c r="E15" s="987">
        <f t="shared" si="1"/>
        <v>3347.7862682400237</v>
      </c>
      <c r="F15" s="987">
        <f t="shared" ca="1" si="1"/>
        <v>37550.962042634761</v>
      </c>
      <c r="G15" s="987">
        <f t="shared" si="1"/>
        <v>211215.44091888136</v>
      </c>
      <c r="H15" s="987">
        <f t="shared" si="1"/>
        <v>44983.880026929379</v>
      </c>
      <c r="I15" s="987">
        <f t="shared" si="1"/>
        <v>0</v>
      </c>
      <c r="J15" s="987">
        <f t="shared" si="1"/>
        <v>127.6119092134912</v>
      </c>
      <c r="K15" s="987">
        <f t="shared" si="1"/>
        <v>0</v>
      </c>
      <c r="L15" s="987">
        <f t="shared" ca="1" si="1"/>
        <v>0</v>
      </c>
      <c r="M15" s="987">
        <f t="shared" si="1"/>
        <v>13660.016387063644</v>
      </c>
      <c r="N15" s="987">
        <f t="shared" ca="1" si="1"/>
        <v>9725.2063771458616</v>
      </c>
      <c r="O15" s="987">
        <f t="shared" si="1"/>
        <v>217.30333333333337</v>
      </c>
      <c r="P15" s="987">
        <f t="shared" si="1"/>
        <v>915.2</v>
      </c>
      <c r="Q15" s="987">
        <f t="shared" ca="1" si="1"/>
        <v>504116.21730302169</v>
      </c>
    </row>
    <row r="17" spans="1:17">
      <c r="A17" s="487" t="s">
        <v>556</v>
      </c>
      <c r="B17" s="786">
        <f ca="1">huishoudens!B10</f>
        <v>0.2076604304212121</v>
      </c>
      <c r="C17" s="786">
        <f ca="1">huishoudens!C10</f>
        <v>0.22444444444444442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7230.0418024504688</v>
      </c>
      <c r="C22" s="477">
        <f t="shared" ref="C22:C32" ca="1" si="3">C4*$C$17</f>
        <v>0</v>
      </c>
      <c r="D22" s="477">
        <f t="shared" ref="D22:D32" si="4">D4*$D$17</f>
        <v>17284.953914510013</v>
      </c>
      <c r="E22" s="477">
        <f t="shared" ref="E22:E32" si="5">E4*$E$17</f>
        <v>401.92148862097849</v>
      </c>
      <c r="F22" s="477">
        <f t="shared" ref="F22:F32" si="6">F4*$F$17</f>
        <v>7851.5367805514215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32768.453986132881</v>
      </c>
    </row>
    <row r="23" spans="1:17">
      <c r="A23" s="476" t="s">
        <v>156</v>
      </c>
      <c r="B23" s="477">
        <f t="shared" ca="1" si="2"/>
        <v>3256.6265425159154</v>
      </c>
      <c r="C23" s="477">
        <f t="shared" ca="1" si="3"/>
        <v>0</v>
      </c>
      <c r="D23" s="477">
        <f t="shared" ca="1" si="4"/>
        <v>6234.945099094145</v>
      </c>
      <c r="E23" s="477">
        <f t="shared" si="5"/>
        <v>47.304533512769915</v>
      </c>
      <c r="F23" s="477">
        <f t="shared" ca="1" si="6"/>
        <v>711.19467313987786</v>
      </c>
      <c r="G23" s="477">
        <f t="shared" si="7"/>
        <v>0</v>
      </c>
      <c r="H23" s="477">
        <f t="shared" si="8"/>
        <v>0</v>
      </c>
      <c r="I23" s="477">
        <f t="shared" si="9"/>
        <v>0</v>
      </c>
      <c r="J23" s="477">
        <f t="shared" si="10"/>
        <v>1.0225040290648607E-2</v>
      </c>
      <c r="K23" s="477">
        <f t="shared" si="11"/>
        <v>0</v>
      </c>
      <c r="L23" s="477">
        <f t="shared" ca="1" si="12"/>
        <v>0</v>
      </c>
      <c r="M23" s="477">
        <f t="shared" si="13"/>
        <v>0</v>
      </c>
      <c r="N23" s="477">
        <f t="shared" ca="1" si="14"/>
        <v>0</v>
      </c>
      <c r="O23" s="477">
        <f t="shared" si="15"/>
        <v>0</v>
      </c>
      <c r="P23" s="478">
        <f t="shared" si="16"/>
        <v>0</v>
      </c>
      <c r="Q23" s="476">
        <f t="shared" ref="Q23:Q32" ca="1" si="17">SUM(B23:P23)</f>
        <v>10250.081073302999</v>
      </c>
    </row>
    <row r="24" spans="1:17">
      <c r="A24" s="476" t="s">
        <v>194</v>
      </c>
      <c r="B24" s="477">
        <f t="shared" ca="1" si="2"/>
        <v>435.5002631686055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435.5002631686055</v>
      </c>
    </row>
    <row r="25" spans="1:17">
      <c r="A25" s="476" t="s">
        <v>112</v>
      </c>
      <c r="B25" s="477">
        <f t="shared" ca="1" si="2"/>
        <v>157.78133811878033</v>
      </c>
      <c r="C25" s="477">
        <f t="shared" ca="1" si="3"/>
        <v>0</v>
      </c>
      <c r="D25" s="477">
        <f t="shared" si="4"/>
        <v>48.048680786376224</v>
      </c>
      <c r="E25" s="477">
        <f t="shared" si="5"/>
        <v>5.0695855939706211</v>
      </c>
      <c r="F25" s="477">
        <f t="shared" si="6"/>
        <v>845.13634478183724</v>
      </c>
      <c r="G25" s="477">
        <f t="shared" si="7"/>
        <v>0</v>
      </c>
      <c r="H25" s="477">
        <f t="shared" si="8"/>
        <v>0</v>
      </c>
      <c r="I25" s="477">
        <f t="shared" si="9"/>
        <v>0</v>
      </c>
      <c r="J25" s="477">
        <f t="shared" si="10"/>
        <v>38.968093818951139</v>
      </c>
      <c r="K25" s="477">
        <f t="shared" si="11"/>
        <v>0</v>
      </c>
      <c r="L25" s="477">
        <f t="shared" si="12"/>
        <v>0</v>
      </c>
      <c r="M25" s="477">
        <f t="shared" si="13"/>
        <v>0</v>
      </c>
      <c r="N25" s="477">
        <f t="shared" si="14"/>
        <v>0</v>
      </c>
      <c r="O25" s="477">
        <f t="shared" si="15"/>
        <v>0</v>
      </c>
      <c r="P25" s="478">
        <f t="shared" si="16"/>
        <v>0</v>
      </c>
      <c r="Q25" s="476">
        <f t="shared" ca="1" si="17"/>
        <v>1095.0040430999154</v>
      </c>
    </row>
    <row r="26" spans="1:17">
      <c r="A26" s="476" t="s">
        <v>635</v>
      </c>
      <c r="B26" s="477">
        <f t="shared" ca="1" si="2"/>
        <v>1397.9366978003291</v>
      </c>
      <c r="C26" s="477">
        <f t="shared" ca="1" si="3"/>
        <v>2.7327627627627624</v>
      </c>
      <c r="D26" s="477">
        <f t="shared" si="4"/>
        <v>280.08026024473543</v>
      </c>
      <c r="E26" s="477">
        <f t="shared" si="5"/>
        <v>171.67165507598452</v>
      </c>
      <c r="F26" s="477">
        <f t="shared" si="6"/>
        <v>618.23906691034551</v>
      </c>
      <c r="G26" s="477">
        <f t="shared" si="7"/>
        <v>0</v>
      </c>
      <c r="H26" s="477">
        <f t="shared" si="8"/>
        <v>0</v>
      </c>
      <c r="I26" s="477">
        <f t="shared" si="9"/>
        <v>0</v>
      </c>
      <c r="J26" s="477">
        <f t="shared" si="10"/>
        <v>6.1962970023340889</v>
      </c>
      <c r="K26" s="477">
        <f t="shared" si="11"/>
        <v>0</v>
      </c>
      <c r="L26" s="477">
        <f t="shared" si="12"/>
        <v>0</v>
      </c>
      <c r="M26" s="477">
        <f t="shared" si="13"/>
        <v>0</v>
      </c>
      <c r="N26" s="477">
        <f t="shared" si="14"/>
        <v>0</v>
      </c>
      <c r="O26" s="477">
        <f t="shared" si="15"/>
        <v>0</v>
      </c>
      <c r="P26" s="478">
        <f t="shared" si="16"/>
        <v>0</v>
      </c>
      <c r="Q26" s="476">
        <f t="shared" ca="1" si="17"/>
        <v>2476.8567397964916</v>
      </c>
    </row>
    <row r="27" spans="1:17" s="482" customFormat="1">
      <c r="A27" s="480" t="s">
        <v>561</v>
      </c>
      <c r="B27" s="780">
        <f t="shared" ca="1" si="2"/>
        <v>23.78169991584419</v>
      </c>
      <c r="C27" s="481">
        <f t="shared" ca="1" si="3"/>
        <v>0</v>
      </c>
      <c r="D27" s="481">
        <f t="shared" si="4"/>
        <v>78.659438046218995</v>
      </c>
      <c r="E27" s="481">
        <f t="shared" si="5"/>
        <v>133.98022008678177</v>
      </c>
      <c r="F27" s="481">
        <f t="shared" si="6"/>
        <v>0</v>
      </c>
      <c r="G27" s="481">
        <f t="shared" si="7"/>
        <v>55186.836159442195</v>
      </c>
      <c r="H27" s="481">
        <f t="shared" si="8"/>
        <v>11200.986126705415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66624.243644196453</v>
      </c>
    </row>
    <row r="28" spans="1:17">
      <c r="A28" s="476" t="s">
        <v>551</v>
      </c>
      <c r="B28" s="477">
        <f t="shared" ca="1" si="2"/>
        <v>0</v>
      </c>
      <c r="C28" s="477">
        <f t="shared" ca="1" si="3"/>
        <v>0</v>
      </c>
      <c r="D28" s="477">
        <f t="shared" si="4"/>
        <v>0</v>
      </c>
      <c r="E28" s="477">
        <f t="shared" si="5"/>
        <v>0</v>
      </c>
      <c r="F28" s="477">
        <f t="shared" si="6"/>
        <v>0</v>
      </c>
      <c r="G28" s="477">
        <f t="shared" si="7"/>
        <v>1207.6865658991305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1207.6865658991305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228.18155038705555</v>
      </c>
      <c r="C32" s="477">
        <f t="shared" ca="1" si="3"/>
        <v>0</v>
      </c>
      <c r="D32" s="477">
        <f t="shared" si="4"/>
        <v>527.30247657806285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755.48402696511835</v>
      </c>
    </row>
    <row r="33" spans="1:17" s="486" customFormat="1">
      <c r="A33" s="1039" t="s">
        <v>555</v>
      </c>
      <c r="B33" s="987">
        <f ca="1">SUM(B22:B32)</f>
        <v>12729.849894356998</v>
      </c>
      <c r="C33" s="987">
        <f t="shared" ref="C33:Q33" ca="1" si="18">SUM(C22:C32)</f>
        <v>2.7327627627627624</v>
      </c>
      <c r="D33" s="987">
        <f t="shared" ca="1" si="18"/>
        <v>24453.989869259553</v>
      </c>
      <c r="E33" s="987">
        <f t="shared" si="18"/>
        <v>759.94748289048528</v>
      </c>
      <c r="F33" s="987">
        <f t="shared" ca="1" si="18"/>
        <v>10026.106865383483</v>
      </c>
      <c r="G33" s="987">
        <f t="shared" si="18"/>
        <v>56394.522725341325</v>
      </c>
      <c r="H33" s="987">
        <f t="shared" si="18"/>
        <v>11200.986126705415</v>
      </c>
      <c r="I33" s="987">
        <f t="shared" si="18"/>
        <v>0</v>
      </c>
      <c r="J33" s="987">
        <f t="shared" si="18"/>
        <v>45.17461586157588</v>
      </c>
      <c r="K33" s="987">
        <f t="shared" si="18"/>
        <v>0</v>
      </c>
      <c r="L33" s="987">
        <f t="shared" ca="1" si="18"/>
        <v>0</v>
      </c>
      <c r="M33" s="987">
        <f t="shared" si="18"/>
        <v>0</v>
      </c>
      <c r="N33" s="987">
        <f t="shared" ca="1" si="18"/>
        <v>0</v>
      </c>
      <c r="O33" s="987">
        <f t="shared" si="18"/>
        <v>0</v>
      </c>
      <c r="P33" s="987">
        <f t="shared" si="18"/>
        <v>0</v>
      </c>
      <c r="Q33" s="987">
        <f t="shared" ca="1" si="18"/>
        <v>115613.3103425616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3700.2803104262211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8.5</v>
      </c>
      <c r="D8" s="1056">
        <f>'SEAP template'!D76</f>
        <v>9.4444444444444429</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1.9077777777777776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3700.2803104262211</v>
      </c>
      <c r="C10" s="1060">
        <f>SUM(C4:C9)</f>
        <v>8.5</v>
      </c>
      <c r="D10" s="1060">
        <f t="shared" ref="D10:H10" si="0">SUM(D8:D9)</f>
        <v>9.4444444444444429</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1.9077777777777776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0.2076604304212121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12.175675675675675</v>
      </c>
      <c r="D17" s="1057">
        <f>'SEAP template'!D87</f>
        <v>13.528528528528525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2.7327627627627624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12.175675675675675</v>
      </c>
      <c r="D20" s="1060">
        <f t="shared" ref="D20:H20" si="2">SUM(D17:D19)</f>
        <v>13.528528528528525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2.7327627627627624</v>
      </c>
    </row>
    <row r="22" spans="1:16">
      <c r="A22" s="487" t="s">
        <v>862</v>
      </c>
      <c r="B22" s="786" t="s">
        <v>856</v>
      </c>
      <c r="C22" s="786">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0.2076604304212121</v>
      </c>
      <c r="C17" s="524">
        <f ca="1">'EF ele_warmte'!B22</f>
        <v>0.22444444444444442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2019-08-12T08:32:19Z</dcterms:modified>
</cp:coreProperties>
</file>