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J89" i="14" s="1"/>
  <c r="J19" i="61" s="1"/>
  <c r="I19" i="18"/>
  <c r="I89" i="14" s="1"/>
  <c r="I19" i="61" s="1"/>
  <c r="H19" i="18"/>
  <c r="G19"/>
  <c r="H89" i="14" s="1"/>
  <c r="H19" i="61" s="1"/>
  <c r="F19" i="18"/>
  <c r="G89" i="14" s="1"/>
  <c r="G19" i="61" s="1"/>
  <c r="E19" i="18"/>
  <c r="F89" i="14" s="1"/>
  <c r="F19" i="61" s="1"/>
  <c r="D19" i="18"/>
  <c r="C19"/>
  <c r="B19"/>
  <c r="N18"/>
  <c r="L88" i="14" s="1"/>
  <c r="M18" i="18"/>
  <c r="L18"/>
  <c r="L20" s="1"/>
  <c r="K18"/>
  <c r="N88" i="14" s="1"/>
  <c r="N18" i="61" s="1"/>
  <c r="N20" s="1"/>
  <c r="J18" i="18"/>
  <c r="I18"/>
  <c r="H18"/>
  <c r="G18"/>
  <c r="H88" i="14" s="1"/>
  <c r="H18" i="61" s="1"/>
  <c r="F18" i="18"/>
  <c r="G88" i="14" s="1"/>
  <c r="G18" i="61" s="1"/>
  <c r="E18" i="18"/>
  <c r="D18"/>
  <c r="D20" s="1"/>
  <c r="C18"/>
  <c r="B18"/>
  <c r="L9"/>
  <c r="L10" s="1"/>
  <c r="K9"/>
  <c r="G9"/>
  <c r="G10" s="1"/>
  <c r="F9"/>
  <c r="F10" s="1"/>
  <c r="E9"/>
  <c r="D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74" i="14" s="1"/>
  <c r="B6" i="61" s="1"/>
  <c r="B5" i="18"/>
  <c r="B73" i="14" s="1"/>
  <c r="B5" i="61" s="1"/>
  <c r="B4" i="18"/>
  <c r="N6" i="17"/>
  <c r="B19" i="6"/>
  <c r="B18"/>
  <c r="B5"/>
  <c r="B6"/>
  <c r="C64" i="14" s="1"/>
  <c r="D14" i="48"/>
  <c r="B14"/>
  <c r="Q14" s="1"/>
  <c r="P7"/>
  <c r="P25" s="1"/>
  <c r="O7"/>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P28"/>
  <c r="N89" i="14"/>
  <c r="N19" i="61" s="1"/>
  <c r="M89" i="14"/>
  <c r="M19" i="61" s="1"/>
  <c r="L89" i="14"/>
  <c r="L19" i="61" s="1"/>
  <c r="K89" i="14"/>
  <c r="K19" i="61" s="1"/>
  <c r="E89" i="14"/>
  <c r="E19" i="61" s="1"/>
  <c r="D89" i="14"/>
  <c r="D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L20" i="61" l="1"/>
  <c r="O22" i="14"/>
  <c r="G77"/>
  <c r="G9" i="61" s="1"/>
  <c r="G10" s="1"/>
  <c r="H20"/>
  <c r="O10"/>
  <c r="G20"/>
  <c r="K20"/>
  <c r="Q11" i="48"/>
  <c r="O25"/>
  <c r="N10" i="61"/>
  <c r="O32" i="48"/>
  <c r="C98" i="18"/>
  <c r="E101" s="1"/>
  <c r="E8" s="1"/>
  <c r="D13" i="15"/>
  <c r="L78" i="14"/>
  <c r="L8" i="61"/>
  <c r="L10" s="1"/>
  <c r="K78" i="14"/>
  <c r="K8" i="61"/>
  <c r="K10" s="1"/>
  <c r="N78" i="14"/>
  <c r="N9" i="61"/>
  <c r="L90" i="14"/>
  <c r="L18" i="61"/>
  <c r="E88" i="14"/>
  <c r="O30" i="48"/>
  <c r="C13" i="15"/>
  <c r="K90" i="14"/>
  <c r="K22"/>
  <c r="Q52"/>
  <c r="F6" i="17"/>
  <c r="I9" i="18"/>
  <c r="I77" i="14" s="1"/>
  <c r="I9" i="61" s="1"/>
  <c r="P27" i="48"/>
  <c r="B10" i="18"/>
  <c r="H9"/>
  <c r="O9" s="1"/>
  <c r="L13" i="15"/>
  <c r="B13"/>
  <c r="H90" i="14"/>
  <c r="N13" i="15"/>
  <c r="F77" i="14"/>
  <c r="F9" i="61" s="1"/>
  <c r="I101" i="18"/>
  <c r="H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E90" i="14"/>
  <c r="E18" i="61"/>
  <c r="E20" s="1"/>
  <c r="G78" i="14"/>
  <c r="M77"/>
  <c r="M9" i="61" s="1"/>
  <c r="B88" i="14"/>
  <c r="B18" i="61" s="1"/>
  <c r="J17" i="18"/>
  <c r="H20"/>
  <c r="M87" i="14"/>
  <c r="J8" i="18"/>
  <c r="M76" i="14"/>
  <c r="H10" i="18"/>
  <c r="E20"/>
  <c r="F87" i="14"/>
  <c r="C20" i="18"/>
  <c r="D87" i="14"/>
  <c r="D17" i="61" s="1"/>
  <c r="D20" s="1"/>
  <c r="D76" i="14"/>
  <c r="D8" i="61" s="1"/>
  <c r="D10" s="1"/>
  <c r="O8" i="18"/>
  <c r="O10" s="1"/>
  <c r="C10"/>
  <c r="C88" i="14"/>
  <c r="C18" i="61" s="1"/>
  <c r="F76" i="14"/>
  <c r="E10" i="18"/>
  <c r="I17"/>
  <c r="I10"/>
  <c r="I76" i="14"/>
  <c r="I8" i="61" s="1"/>
  <c r="I10" s="1"/>
  <c r="Q88" i="14"/>
  <c r="P18" i="61" s="1"/>
  <c r="AC15" i="5"/>
  <c r="M90" i="14" l="1"/>
  <c r="M17" i="61"/>
  <c r="M20" s="1"/>
  <c r="M78" i="14"/>
  <c r="M8" i="61"/>
  <c r="M10" s="1"/>
  <c r="F78" i="14"/>
  <c r="F8" i="61"/>
  <c r="F10" s="1"/>
  <c r="F90" i="14"/>
  <c r="F17" i="61"/>
  <c r="F20" s="1"/>
  <c r="B77" i="14"/>
  <c r="B9" i="61" s="1"/>
  <c r="Q77" i="14"/>
  <c r="P9" i="61" s="1"/>
  <c r="C77" i="14"/>
  <c r="C9" i="61" s="1"/>
  <c r="I78" i="14"/>
  <c r="Q76"/>
  <c r="D78"/>
  <c r="J87"/>
  <c r="J20" i="18"/>
  <c r="I87" i="14"/>
  <c r="I17" i="61" s="1"/>
  <c r="I20" s="1"/>
  <c r="I20" i="18"/>
  <c r="O17"/>
  <c r="O20" s="1"/>
  <c r="Q87" i="14"/>
  <c r="D90"/>
  <c r="J10" i="18"/>
  <c r="J76" i="14"/>
  <c r="D5" i="13"/>
  <c r="J78" i="14" l="1"/>
  <c r="J8" i="61"/>
  <c r="J10" s="1"/>
  <c r="J90" i="14"/>
  <c r="J17" i="61"/>
  <c r="J20" s="1"/>
  <c r="Q90" i="14"/>
  <c r="B17" i="6" s="1"/>
  <c r="P17" i="61"/>
  <c r="P20" s="1"/>
  <c r="Q78" i="14"/>
  <c r="B9" i="6" s="1"/>
  <c r="P8" i="61"/>
  <c r="P10" s="1"/>
  <c r="I90" i="14"/>
  <c r="B87"/>
  <c r="C87"/>
  <c r="C76"/>
  <c r="B76"/>
  <c r="B26" i="17"/>
  <c r="B78" i="14" l="1"/>
  <c r="B8" i="61"/>
  <c r="B10" s="1"/>
  <c r="B90" i="14"/>
  <c r="B17" i="61"/>
  <c r="B20" s="1"/>
  <c r="C90" i="14"/>
  <c r="C17" i="61"/>
  <c r="C20" s="1"/>
  <c r="C78" i="14"/>
  <c r="C8" i="61"/>
  <c r="C10" s="1"/>
  <c r="H14" i="15"/>
  <c r="H16" s="1"/>
  <c r="G14"/>
  <c r="G16" s="1"/>
  <c r="B4" i="6" l="1"/>
  <c r="I10" i="14"/>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8"/>
  <c r="D29"/>
  <c r="D31"/>
  <c r="D32"/>
  <c r="D24"/>
  <c r="L29"/>
  <c r="L32"/>
  <c r="L27"/>
  <c r="L30"/>
  <c r="L31"/>
  <c r="L28"/>
  <c r="L24"/>
  <c r="L22"/>
  <c r="Q10" i="14"/>
  <c r="P5" i="48"/>
  <c r="P23" s="1"/>
  <c r="K32"/>
  <c r="K24"/>
  <c r="K27"/>
  <c r="K31"/>
  <c r="K28"/>
  <c r="K22"/>
  <c r="K29"/>
  <c r="K26"/>
  <c r="K25"/>
  <c r="K30"/>
  <c r="O4"/>
  <c r="P11" i="14"/>
  <c r="I25" i="48"/>
  <c r="I29"/>
  <c r="I27"/>
  <c r="I24"/>
  <c r="I22"/>
  <c r="I31"/>
  <c r="I28"/>
  <c r="I30"/>
  <c r="I26"/>
  <c r="I32"/>
  <c r="E11" i="14"/>
  <c r="D4" i="48"/>
  <c r="D22" s="1"/>
  <c r="H29"/>
  <c r="H28"/>
  <c r="H32"/>
  <c r="H26"/>
  <c r="H30"/>
  <c r="H24"/>
  <c r="H25"/>
  <c r="H22"/>
  <c r="H23"/>
  <c r="G23"/>
  <c r="G32"/>
  <c r="G30"/>
  <c r="G22"/>
  <c r="G26"/>
  <c r="G24"/>
  <c r="G25"/>
  <c r="G29"/>
  <c r="C11" i="14"/>
  <c r="B4" i="48"/>
  <c r="F24"/>
  <c r="F30"/>
  <c r="F29"/>
  <c r="F32"/>
  <c r="F31"/>
  <c r="F28"/>
  <c r="F27"/>
  <c r="N30"/>
  <c r="N32"/>
  <c r="N24"/>
  <c r="N31"/>
  <c r="N28"/>
  <c r="N29"/>
  <c r="N27"/>
  <c r="C19" i="14"/>
  <c r="B10" i="48"/>
  <c r="E31"/>
  <c r="E24"/>
  <c r="E29"/>
  <c r="E30"/>
  <c r="E28"/>
  <c r="E32"/>
  <c r="M29"/>
  <c r="M25"/>
  <c r="M22"/>
  <c r="M26"/>
  <c r="M24"/>
  <c r="M32"/>
  <c r="M30"/>
  <c r="M23"/>
  <c r="B8" i="9"/>
  <c r="B6" i="48" s="1"/>
  <c r="Q6" s="1"/>
  <c r="D11" i="14"/>
  <c r="C4" i="48"/>
  <c r="K5"/>
  <c r="L10" i="14"/>
  <c r="L16" s="1"/>
  <c r="L27" s="1"/>
  <c r="C24"/>
  <c r="C26" s="1"/>
  <c r="B7" i="48"/>
  <c r="J30"/>
  <c r="J32"/>
  <c r="J24"/>
  <c r="J29"/>
  <c r="J28"/>
  <c r="J31"/>
  <c r="J27"/>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J10"/>
  <c r="J16" s="1"/>
  <c r="J27" s="1"/>
  <c r="J63" s="1"/>
  <c r="I5" i="48"/>
  <c r="P22"/>
  <c r="P15"/>
  <c r="G13"/>
  <c r="G31" s="1"/>
  <c r="H18" i="14"/>
  <c r="C22"/>
  <c r="O22" i="48"/>
  <c r="E9"/>
  <c r="E27" s="1"/>
  <c r="F20" i="14"/>
  <c r="F22" s="1"/>
  <c r="P8" i="48"/>
  <c r="P26" s="1"/>
  <c r="Q13" i="14"/>
  <c r="K23" i="48"/>
  <c r="K33" s="1"/>
  <c r="K15"/>
  <c r="D9"/>
  <c r="D27" s="1"/>
  <c r="E20" i="14"/>
  <c r="E22" s="1"/>
  <c r="O5" i="48"/>
  <c r="O23" s="1"/>
  <c r="P10" i="14"/>
  <c r="B9" i="48"/>
  <c r="C20" i="14"/>
  <c r="J7" i="48"/>
  <c r="J25" s="1"/>
  <c r="K24" i="14"/>
  <c r="K26" s="1"/>
  <c r="Q16"/>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E4" i="48"/>
  <c r="F11" i="14"/>
  <c r="R11" s="1"/>
  <c r="O8" i="48"/>
  <c r="O26" s="1"/>
  <c r="P13" i="14"/>
  <c r="P16" s="1"/>
  <c r="P27" s="1"/>
  <c r="K11"/>
  <c r="J4" i="48"/>
  <c r="N4"/>
  <c r="N22" s="1"/>
  <c r="O11" i="14"/>
  <c r="P46"/>
  <c r="P61" s="1"/>
  <c r="O33" i="48"/>
  <c r="I23"/>
  <c r="I33" s="1"/>
  <c r="I15"/>
  <c r="P33"/>
  <c r="G10"/>
  <c r="H19" i="14"/>
  <c r="E7" i="48"/>
  <c r="E25" s="1"/>
  <c r="F24" i="14"/>
  <c r="F26" s="1"/>
  <c r="I20"/>
  <c r="H9" i="48"/>
  <c r="M9"/>
  <c r="N20" i="14"/>
  <c r="I22"/>
  <c r="I27" s="1"/>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J5" i="48" l="1"/>
  <c r="J23" s="1"/>
  <c r="K10" i="14"/>
  <c r="F10"/>
  <c r="E5" i="48"/>
  <c r="E23" s="1"/>
  <c r="G28"/>
  <c r="Q10"/>
  <c r="P63" i="14"/>
  <c r="Q7" i="48"/>
  <c r="N52" i="14"/>
  <c r="N61" s="1"/>
  <c r="H22"/>
  <c r="H27" s="1"/>
  <c r="R19"/>
  <c r="R22" s="1"/>
  <c r="E22" i="48"/>
  <c r="Q4"/>
  <c r="G9"/>
  <c r="H20" i="14"/>
  <c r="R20" s="1"/>
  <c r="J22" i="48"/>
  <c r="O15"/>
  <c r="J20" i="15"/>
  <c r="K40" i="14" s="1"/>
  <c r="M15" i="48"/>
  <c r="M27"/>
  <c r="M33" s="1"/>
  <c r="Q9"/>
  <c r="H15"/>
  <c r="H27"/>
  <c r="H33" s="1"/>
  <c r="N63" i="14"/>
  <c r="R24"/>
  <c r="R26" s="1"/>
  <c r="N18" i="16"/>
  <c r="E20" i="15"/>
  <c r="F40" i="14" s="1"/>
  <c r="F18" i="16"/>
  <c r="J18"/>
  <c r="E18"/>
  <c r="G18" i="22"/>
  <c r="H50" i="14" s="1"/>
  <c r="H52" s="1"/>
  <c r="H61" s="1"/>
  <c r="H63" s="1"/>
  <c r="H18" i="22"/>
  <c r="I50" i="14" s="1"/>
  <c r="I52" s="1"/>
  <c r="I61" s="1"/>
  <c r="I63" s="1"/>
  <c r="K13" l="1"/>
  <c r="J8" i="48"/>
  <c r="E8"/>
  <c r="F13" i="14"/>
  <c r="F16"/>
  <c r="F27" s="1"/>
  <c r="F63" s="1"/>
  <c r="G27" i="48"/>
  <c r="G33" s="1"/>
  <c r="G15"/>
  <c r="K16" i="14"/>
  <c r="K27" s="1"/>
  <c r="F46"/>
  <c r="F61" s="1"/>
  <c r="N8" i="48"/>
  <c r="N26" s="1"/>
  <c r="O13" i="14"/>
  <c r="F8" i="48"/>
  <c r="G13" i="14"/>
  <c r="E22" i="16"/>
  <c r="F43" i="14" s="1"/>
  <c r="F22" i="16"/>
  <c r="G43" i="14" s="1"/>
  <c r="N22" i="16"/>
  <c r="O43" i="14" s="1"/>
  <c r="J22" i="16"/>
  <c r="K43" i="14" s="1"/>
  <c r="K46" s="1"/>
  <c r="K61" s="1"/>
  <c r="J26" i="48" l="1"/>
  <c r="J33" s="1"/>
  <c r="J15"/>
  <c r="R13" i="14"/>
  <c r="K63"/>
  <c r="E26" i="48"/>
  <c r="E33" s="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<sst xmlns="http://schemas.openxmlformats.org/spreadsheetml/2006/main" count="2383" uniqueCount="881">
  <si>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</si>
  <si>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</si>
  <si>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</si>
  <si>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</si>
  <si>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</si>
  <si>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</si>
  <si>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</si>
  <si>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</si>
  <si>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</si>
  <si>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</si>
  <si>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</si>
  <si>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</si>
  <si>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</si>
  <si>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</si>
  <si>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</si>
  <si>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</si>
  <si>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</si>
  <si>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</si>
  <si>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</si>
  <si>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</si>
  <si>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</si>
  <si>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</si>
  <si>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</si>
  <si>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</si>
  <si>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</si>
  <si>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</si>
  <si>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</si>
  <si>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</si>
  <si>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</si>
  <si>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</si>
  <si>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</si>
  <si>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</si>
  <si>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</si>
  <si>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</si>
  <si>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</si>
  <si>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</si>
  <si>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</si>
  <si>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</si>
  <si>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</si>
  <si>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</si>
  <si>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</si>
  <si>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</si>
  <si>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</si>
  <si>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</si>
  <si>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</si>
  <si>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</si>
  <si>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</si>
  <si>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</si>
  <si>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</si>
  <si>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</si>
  <si>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</si>
  <si>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</si>
  <si>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</si>
  <si>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</si>
  <si>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</si>
  <si>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</si>
  <si>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</si>
  <si>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</si>
  <si>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</si>
  <si>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</si>
  <si>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</si>
  <si>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</si>
  <si>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</si>
  <si>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</si>
  <si>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</si>
  <si>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</si>
  <si>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</si>
  <si>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</si>
  <si>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</si>
  <si>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</si>
  <si>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</si>
  <si>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</si>
  <si>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</si>
  <si>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</si>
  <si>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</si>
  <si>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</si>
  <si>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</si>
  <si>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</si>
  <si>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</si>
  <si>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</si>
  <si>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</si>
  <si>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</si>
  <si>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</si>
  <si>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</si>
  <si>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</si>
  <si>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</si>
  <si>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</si>
  <si>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</si>
  <si>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</si>
  <si>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</si>
  <si>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</si>
  <si>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</si>
  <si>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</si>
  <si>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</si>
  <si>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</si>
  <si>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</si>
  <si>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</si>
  <si>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</si>
  <si>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</si>
  <si>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</si>
  <si>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</si>
  <si>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</si>
  <si>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</si>
  <si>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</si>
  <si>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</si>
  <si>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</si>
  <si>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</si>
  <si>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</si>
  <si>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</si>
  <si>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</si>
  <si>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</si>
  <si>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</si>
  <si>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</si>
  <si>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</si>
  <si>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</si>
  <si>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</si>
  <si>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</si>
  <si>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</si>
  <si>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</si>
  <si>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</si>
  <si>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</si>
  <si>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</si>
  <si>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</si>
  <si>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</si>
  <si>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</si>
  <si>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</si>
  <si>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</si>
  <si>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</si>
  <si>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</si>
  <si>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</si>
  <si>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</si>
  <si>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</si>
  <si>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</si>
  <si>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</si>
  <si>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</si>
  <si>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</si>
  <si>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</si>
  <si>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</si>
  <si>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</si>
  <si>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</si>
  <si>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</si>
  <si>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</si>
  <si>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</si>
  <si>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</si>
  <si>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</si>
  <si>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</si>
  <si>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</si>
  <si>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</si>
  <si>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</si>
  <si>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</si>
  <si>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</si>
  <si>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</si>
  <si>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</si>
  <si>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</si>
  <si>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</si>
  <si>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</si>
  <si>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</si>
  <si>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</si>
  <si>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</si>
  <si>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</si>
  <si>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</si>
  <si>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</si>
  <si>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</si>
  <si>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</si>
  <si>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</si>
  <si>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</si>
  <si>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</si>
  <si>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</si>
  <si>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</si>
  <si>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</si>
  <si>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</si>
  <si>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</si>
  <si>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</si>
  <si>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</si>
  <si>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</si>
  <si>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</si>
  <si>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</si>
  <si>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</si>
  <si>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</si>
  <si>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</si>
  <si>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</si>
  <si>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</si>
  <si>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</si>
  <si>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</si>
  <si>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</si>
  <si>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</si>
  <si>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</si>
  <si>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</si>
  <si>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</si>
  <si>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</si>
  <si>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</si>
  <si>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</si>
  <si>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</si>
  <si>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</si>
  <si>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</si>
  <si>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</si>
  <si>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</si>
  <si>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</si>
  <si>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</si>
  <si>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</si>
  <si>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</si>
  <si>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</si>
  <si>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</si>
  <si>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</si>
  <si>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</si>
  <si>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</si>
  <si>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</si>
  <si>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</si>
  <si>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</si>
  <si>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</si>
  <si>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</si>
  <si>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</si>
  <si>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</si>
  <si>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</si>
  <si>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</si>
  <si>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</si>
  <si>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</si>
  <si>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</si>
  <si>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</si>
  <si>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</si>
  <si>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</si>
  <si>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</si>
  <si>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</si>
  <si>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</si>
  <si>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</si>
  <si>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</si>
  <si>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</si>
  <si>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</si>
  <si>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</si>
  <si>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</si>
  <si>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</si>
  <si>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</si>
  <si>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</si>
  <si>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</si>
  <si>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</si>
  <si>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</si>
  <si>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</si>
  <si>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</si>
  <si>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</si>
  <si>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</si>
  <si>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</si>
  <si>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</si>
  <si>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</si>
  <si>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</si>
  <si>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</si>
  <si>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</si>
  <si>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</si>
  <si>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</si>
  <si>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</si>
  <si>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</si>
  <si>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</si>
  <si>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</si>
  <si>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</si>
  <si>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</si>
  <si>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</si>
  <si>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</si>
  <si>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</si>
  <si>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</si>
  <si>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</si>
  <si>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</si>
  <si>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</si>
  <si>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</si>
  <si>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</si>
  <si>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</si>
  <si>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</si>
  <si>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</si>
  <si>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</si>
  <si>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</si>
  <si>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</si>
  <si>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</si>
  <si>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</si>
  <si>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</si>
  <si>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</si>
  <si>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</si>
  <si>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</si>
  <si>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</si>
  <si>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</si>
  <si>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</si>
  <si>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</si>
  <si>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</si>
  <si>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</si>
  <si>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</si>
  <si>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</si>
  <si>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</si>
  <si>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</si>
  <si>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</si>
  <si>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</si>
  <si>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</si>
  <si>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</si>
  <si>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</si>
  <si>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</si>
  <si>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</si>
  <si>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</si>
  <si>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</si>
  <si>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</si>
  <si>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</si>
  <si>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</si>
  <si>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</si>
  <si>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</si>
  <si>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</si>
  <si>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</si>
  <si>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</si>
  <si>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</si>
  <si>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</si>
  <si>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</si>
  <si>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</si>
  <si>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</si>
  <si>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</si>
  <si>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</si>
  <si>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</si>
  <si>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</si>
  <si>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</si>
  <si>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</si>
  <si>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</si>
  <si>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</si>
  <si>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</si>
  <si>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</si>
  <si>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</si>
  <si>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</si>
  <si>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</si>
  <si>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</si>
  <si>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</si>
  <si>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</si>
  <si>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</si>
  <si>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</si>
  <si>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</si>
  <si>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</si>
  <si>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</si>
  <si>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</si>
  <si>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</si>
  <si>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</si>
  <si>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</si>
  <si>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</si>
  <si>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</si>
  <si>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</si>
  <si>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</si>
  <si>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</si>
  <si>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</si>
  <si>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</si>
  <si>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</si>
  <si>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</si>
  <si>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</si>
  <si>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</si>
  <si>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</si>
  <si>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</si>
  <si>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</si>
  <si>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</si>
  <si>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</si>
  <si>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</si>
  <si>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</si>
  <si>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</si>
  <si>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</si>
  <si>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</si>
  <si>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</si>
  <si>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</si>
  <si>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</si>
  <si>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</si>
  <si>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</si>
  <si>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</si>
  <si>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</si>
  <si>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</si>
  <si>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</si>
  <si>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</si>
  <si>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</si>
  <si>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</si>
  <si>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</si>
  <si>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</si>
  <si>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</si>
  <si>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</si>
  <si>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</si>
  <si>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</si>
  <si>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</si>
  <si>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</si>
  <si>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</si>
  <si>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</si>
  <si>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</si>
  <si>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</si>
  <si>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</si>
  <si>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</si>
  <si>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</si>
  <si>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</si>
  <si>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</si>
  <si>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</si>
  <si>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</si>
  <si>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</si>
  <si>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</si>
  <si>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</si>
  <si>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</si>
  <si>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</si>
  <si>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</si>
  <si>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</si>
  <si>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</si>
  <si>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</si>
  <si>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</si>
  <si>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</si>
  <si>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</si>
  <si>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</si>
  <si>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</si>
  <si>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</si>
  <si>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</si>
  <si>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</si>
  <si>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</si>
  <si>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</si>
  <si>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</si>
  <si>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</si>
  <si>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</si>
  <si>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</si>
  <si>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</si>
  <si>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</si>
  <si>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</si>
  <si>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</si>
  <si>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</si>
  <si>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</si>
  <si>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</si>
  <si>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</si>
  <si>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</si>
  <si>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</si>
  <si>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</si>
  <si>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</si>
  <si>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</si>
  <si>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</si>
  <si>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</si>
  <si>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</si>
  <si>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</si>
  <si>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</si>
  <si>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</si>
  <si>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</si>
  <si>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</si>
  <si>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</si>
  <si>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</si>
  <si>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</si>
  <si>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</si>
  <si>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</si>
  <si>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</si>
  <si>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</si>
  <si>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</si>
  <si>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</si>
  <si>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</si>
  <si>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</si>
  <si>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</si>
  <si>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</si>
  <si>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</si>
  <si>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</si>
  <si>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</si>
  <si>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</si>
  <si>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</si>
  <si>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</si>
  <si>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</si>
  <si>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</si>
  <si>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</si>
  <si>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</si>
  <si>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</si>
  <si>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</si>
  <si>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</si>
  <si>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</si>
  <si>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</si>
  <si>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</si>
  <si>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</si>
  <si>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</si>
  <si>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</si>
  <si>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</si>
  <si>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</si>
  <si>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</si>
  <si>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</si>
  <si>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</si>
  <si>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</si>
  <si>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</si>
  <si>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</si>
  <si>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</si>
  <si>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</si>
  <si>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</si>
  <si>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</si>
  <si>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</si>
  <si>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</si>
  <si>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</si>
  <si>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</si>
  <si>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</si>
  <si>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</si>
  <si>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</si>
  <si>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</si>
  <si>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</si>
  <si>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</si>
  <si>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</si>
  <si>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</si>
  <si>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</si>
  <si>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</si>
  <si>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</si>
  <si>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</si>
  <si>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</si>
  <si>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</si>
  <si>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</si>
  <si>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</si>
  <si>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</si>
  <si>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</si>
  <si>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</si>
  <si>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</si>
  <si>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</si>
  <si>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</si>
  <si>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</si>
  <si>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</si>
  <si>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</si>
  <si>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</si>
  <si>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</si>
  <si>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</si>
  <si>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</si>
  <si>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</si>
  <si>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</si>
  <si>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</si>
  <si>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</si>
  <si>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</si>
  <si>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</si>
  <si>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</si>
  <si>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</si>
  <si>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</si>
  <si>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</si>
  <si>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</si>
  <si>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</si>
  <si>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</si>
  <si>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</si>
  <si>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</si>
  <si>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</si>
  <si>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</si>
  <si>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</si>
  <si>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</si>
  <si>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</si>
  <si>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</si>
  <si>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</si>
  <si>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</si>
  <si>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</si>
  <si>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</si>
  <si>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</si>
  <si>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</si>
  <si>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</si>
  <si>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</si>
  <si>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</si>
  <si>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</si>
  <si>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</si>
  <si>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</si>
  <si>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</si>
  <si>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</si>
  <si>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</si>
  <si>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</si>
  <si>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</si>
  <si>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</si>
  <si>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</si>
  <si>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</si>
  <si>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</si>
  <si>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</si>
  <si>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</si>
  <si>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</si>
  <si>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</si>
  <si>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</si>
  <si>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</si>
  <si>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</si>
  <si>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</si>
  <si>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</si>
  <si>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</si>
  <si>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</si>
  <si>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</si>
  <si>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</si>
  <si>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</si>
  <si>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</si>
  <si>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</si>
  <si>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</si>
  <si>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</si>
  <si>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</si>
  <si>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</si>
  <si>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</si>
  <si>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</si>
  <si>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</si>
  <si>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</si>
  <si>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</si>
  <si>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</si>
  <si>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</si>
  <si>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</si>
  <si>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</si>
  <si>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</si>
  <si>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</si>
  <si>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</si>
  <si>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</si>
  <si>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</si>
  <si>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</si>
  <si>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</si>
  <si>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</si>
  <si>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</si>
  <si>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</si>
  <si>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</si>
  <si>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</si>
  <si>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</si>
  <si>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</si>
  <si>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</si>
  <si>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</si>
  <si>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</si>
  <si>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</si>
  <si>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</si>
  <si>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</si>
  <si>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</si>
  <si>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</si>
  <si>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</si>
  <si>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</si>
  <si>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</si>
  <si>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</si>
  <si>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</si>
  <si>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</si>
  <si>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</si>
  <si>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</si>
  <si>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</si>
  <si>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</si>
  <si>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</si>
  <si>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</si>
  <si>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</si>
  <si>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</si>
  <si>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</si>
  <si>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</si>
  <si>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</si>
  <si>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</si>
  <si>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</si>
  <si>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</si>
  <si>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</si>
  <si>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</si>
  <si>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</si>
  <si>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</si>
  <si>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</si>
  <si>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</si>
  <si>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</si>
  <si>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</si>
  <si>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</si>
  <si>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</si>
  <si>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</si>
  <si>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</si>
  <si>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</si>
  <si>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</si>
  <si>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</si>
  <si>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</si>
  <si>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</si>
  <si>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</si>
  <si>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</si>
  <si>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</si>
  <si>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</si>
  <si>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</si>
  <si>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</si>
  <si>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</si>
  <si>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</si>
  <si>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</si>
  <si>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</si>
  <si>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</si>
  <si>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</si>
  <si>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</si>
  <si>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</si>
  <si>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</si>
  <si>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</si>
  <si>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</si>
  <si>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</si>
  <si>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</si>
  <si>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</si>
  <si>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</si>
  <si>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</si>
  <si>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</si>
  <si>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</si>
  <si>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</si>
  <si>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</si>
  <si>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</si>
  <si>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</si>
  <si>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</si>
  <si>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</si>
  <si>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</si>
  <si>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</si>
  <si>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</si>
  <si>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</si>
  <si>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</si>
  <si>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</si>
  <si>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</si>
  <si>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</si>
  <si>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</si>
  <si>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</si>
  <si>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</si>
  <si>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</si>
  <si>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</si>
  <si>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</si>
  <si>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</si>
  <si>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</si>
  <si>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</si>
  <si>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</si>
  <si>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</si>
  <si>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</si>
  <si>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</si>
  <si>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</si>
  <si>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</si>
  <si>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</si>
  <si>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</si>
  <si>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</si>
  <si>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</si>
  <si>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</si>
  <si>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</si>
  <si>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</si>
  <si>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</si>
  <si>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</si>
  <si>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</si>
  <si>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</si>
  <si>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</si>
  <si>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</si>
  <si>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</si>
  <si>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</si>
  <si>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</si>
  <si>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</si>
  <si>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</si>
  <si>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</si>
  <si>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</si>
  <si>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</si>
  <si>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</si>
  <si>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</si>
  <si>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</si>
  <si>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</si>
  <si>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</si>
  <si>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</si>
  <si>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</si>
  <si>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</si>
  <si>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</si>
  <si>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</si>
  <si>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</si>
  <si>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</si>
  <si>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</si>
  <si>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</si>
  <si>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</si>
  <si>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</si>
  <si>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</si>
  <si>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</si>
  <si>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</si>
  <si>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</si>
  <si>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</si>
  <si>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</si>
  <si>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</si>
  <si>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</si>
  <si>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</si>
  <si>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</si>
  <si>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</si>
  <si>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</si>
  <si>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</si>
  <si>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</si>
  <si>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</si>
  <si>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</si>
  <si>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</si>
  <si>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</si>
  <si>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</si>
  <si>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</si>
  <si>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</si>
  <si>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</si>
  <si>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</si>
  <si>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</si>
  <si>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</si>
  <si>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</si>
  <si>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</si>
  <si>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</si>
  <si>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</si>
  <si>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</si>
  <si>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</si>
  <si>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</si>
  <si>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</si>
  <si>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</si>
  <si>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</si>
  <si>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</si>
  <si>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</si>
  <si>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</si>
  <si>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</si>
  <si>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</si>
  <si>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</si>
  <si>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</si>
  <si>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</si>
  <si>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</si>
  <si>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</si>
  <si>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</si>
  <si>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</si>
  <si>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</si>
  <si>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</si>
  <si>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</si>
  <si>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</si>
  <si>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</si>
  <si>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</si>
  <si>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</si>
  <si>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</si>
  <si>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</si>
  <si>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</si>
  <si>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</si>
  <si>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</si>
  <si>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</si>
  <si>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</si>
  <si>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</si>
  <si>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</si>
  <si>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</si>
  <si>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</si>
  <si>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</si>
  <si>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</si>
  <si>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</si>
  <si>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</si>
  <si>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</si>
  <si>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</si>
  <si>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</si>
  <si>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</si>
  <si>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</si>
  <si>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</si>
  <si>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</si>
  <si>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</si>
  <si>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</si>
  <si>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</si>
  <si>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</si>
  <si>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</si>
  <si>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</si>
  <si>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</si>
  <si>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</si>
  <si>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</si>
  <si>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</si>
  <si>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</si>
  <si>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</si>
  <si>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</si>
  <si>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</si>
  <si>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</si>
  <si>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</si>
  <si>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</si>
  <si>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</si>
  <si>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</si>
  <si>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</si>
  <si>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</si>
  <si>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</si>
  <si>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</si>
  <si>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</si>
  <si>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</si>
  <si>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</si>
  <si>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</si>
  <si>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</si>
  <si>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</si>
  <si>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</si>
  <si>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</si>
  <si>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</si>
  <si>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</si>
  <si>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</si>
  <si>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</si>
  <si>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</si>
  <si>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</si>
  <si>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</si>
  <si>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</si>
  <si>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</si>
  <si>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</si>
  <si>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</si>
  <si>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</si>
  <si>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</si>
  <si>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</si>
  <si>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</si>
  <si>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</si>
  <si>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</si>
  <si>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</si>
  <si>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</si>
  <si>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</si>
  <si>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</si>
  <si>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</si>
  <si>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</si>
  <si>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</si>
  <si>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</si>
  <si>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</si>
  <si>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</si>
  <si>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</si>
  <si>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</si>
  <si>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</si>
  <si>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</si>
  <si>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</si>
  <si>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</si>
  <si>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</si>
  <si>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</si>
  <si>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</si>
  <si>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</si>
  <si>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</si>
  <si>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</si>
  <si>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</si>
  <si>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</si>
  <si>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23045</t>
  </si>
  <si>
    <t>LONDERZEEL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</si>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</sst>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154832.79078513905</c:v>
                </c:pt>
                <c:pt idx="1">
                  <c:v>49263.26162078348</c:v>
                </c:pt>
                <c:pt idx="2">
                  <c:v>1304.1379999999999</c:v>
                </c:pt>
                <c:pt idx="3">
                  <c:v>21739.523375639055</c:v>
                </c:pt>
                <c:pt idx="4">
                  <c:v>52602.180986215935</c:v>
                </c:pt>
                <c:pt idx="5">
                  <c:v>132252.56242943724</c:v>
                </c:pt>
                <c:pt idx="6">
                  <c:v>2473.8704085853178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154832.79078513905</c:v>
                </c:pt>
                <c:pt idx="1">
                  <c:v>49263.26162078348</c:v>
                </c:pt>
                <c:pt idx="2">
                  <c:v>1304.1379999999999</c:v>
                </c:pt>
                <c:pt idx="3">
                  <c:v>21739.523375639055</c:v>
                </c:pt>
                <c:pt idx="4">
                  <c:v>52602.180986215935</c:v>
                </c:pt>
                <c:pt idx="5">
                  <c:v>132252.56242943724</c:v>
                </c:pt>
                <c:pt idx="6">
                  <c:v>2473.8704085853178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31906.391050912338</c:v>
                </c:pt>
                <c:pt idx="2">
                  <c:v>9666.3141779315738</c:v>
                </c:pt>
                <c:pt idx="3">
                  <c:v>265.35296968275588</c:v>
                </c:pt>
                <c:pt idx="4">
                  <c:v>5394.7162047162838</c:v>
                </c:pt>
                <c:pt idx="5">
                  <c:v>10374.838513850287</c:v>
                </c:pt>
                <c:pt idx="6">
                  <c:v>33073.28111242038</c:v>
                </c:pt>
                <c:pt idx="7">
                  <c:v>625.02475237678982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37248"/>
        <c:axId val="183239040"/>
      </c:barChart>
      <c:catAx>
        <c:axId val="183237248"/>
        <c:scaling>
          <c:orientation val="minMax"/>
        </c:scaling>
        <c:axPos val="b"/>
        <c:numFmt formatCode="General" sourceLinked="0"/>
        <c:tickLblPos val="nextTo"/>
        <c:crossAx val="183239040"/>
        <c:crosses val="autoZero"/>
        <c:auto val="1"/>
        <c:lblAlgn val="ctr"/>
        <c:lblOffset val="100"/>
      </c:catAx>
      <c:valAx>
        <c:axId val="183239040"/>
        <c:scaling>
          <c:orientation val="minMax"/>
        </c:scaling>
        <c:axPos val="l"/>
        <c:majorGridlines>
          <c:spPr>
            <a:ln>
              <a:noFill/>
            </a:ln>
          </c:spPr>
        </c:majorGridlines>
        <c:numFmt formatCode="#,##0" sourceLinked="1"/>
        <c:tickLblPos val="nextTo"/>
        <c:crossAx val="1832372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31906.391050912338</c:v>
                </c:pt>
                <c:pt idx="2">
                  <c:v>9666.3141779315738</c:v>
                </c:pt>
                <c:pt idx="3">
                  <c:v>265.35296968275588</c:v>
                </c:pt>
                <c:pt idx="4">
                  <c:v>5394.7162047162838</c:v>
                </c:pt>
                <c:pt idx="5">
                  <c:v>10374.838513850287</c:v>
                </c:pt>
                <c:pt idx="6">
                  <c:v>33073.28111242038</c:v>
                </c:pt>
                <c:pt idx="7">
                  <c:v>625.02475237678982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23045</v>
      </c>
      <c r="B6" s="415"/>
      <c r="C6" s="416"/>
    </row>
    <row r="7" spans="1:7" s="413" customFormat="1" ht="15.75" customHeight="1">
      <c r="A7" s="417" t="str">
        <f>txtMunicipality</f>
        <v>LONDERZEEL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20511.027358778541</v>
      </c>
      <c r="D10" s="1013">
        <f ca="1">tertiair!C16</f>
        <v>0</v>
      </c>
      <c r="E10" s="1013">
        <f ca="1">tertiair!D16</f>
        <v>23475.972373645945</v>
      </c>
      <c r="F10" s="1013">
        <f>tertiair!E16</f>
        <v>331.67489748647091</v>
      </c>
      <c r="G10" s="1013">
        <f ca="1">tertiair!F16</f>
        <v>3523.7002530848745</v>
      </c>
      <c r="H10" s="1013">
        <f>tertiair!G16</f>
        <v>0</v>
      </c>
      <c r="I10" s="1013">
        <f>tertiair!H16</f>
        <v>0</v>
      </c>
      <c r="J10" s="1013">
        <f>tertiair!I16</f>
        <v>0</v>
      </c>
      <c r="K10" s="1013">
        <f>tertiair!J16</f>
        <v>6.6813354692363935E-2</v>
      </c>
      <c r="L10" s="1013">
        <f>tertiair!K16</f>
        <v>0</v>
      </c>
      <c r="M10" s="1013">
        <f ca="1">tertiair!L16</f>
        <v>0</v>
      </c>
      <c r="N10" s="1013">
        <f>tertiair!M16</f>
        <v>0</v>
      </c>
      <c r="O10" s="1013">
        <f ca="1">tertiair!N16</f>
        <v>2647.1279244329548</v>
      </c>
      <c r="P10" s="1013">
        <f>tertiair!O16</f>
        <v>1.5633333333333335</v>
      </c>
      <c r="Q10" s="1014">
        <f>tertiair!P16</f>
        <v>76.266666666666666</v>
      </c>
      <c r="R10" s="700">
        <f ca="1">SUM(C10:Q10)</f>
        <v>50567.399620783486</v>
      </c>
      <c r="S10" s="67"/>
    </row>
    <row r="11" spans="1:19" s="473" customFormat="1">
      <c r="A11" s="809" t="s">
        <v>225</v>
      </c>
      <c r="B11" s="814"/>
      <c r="C11" s="1013">
        <f>huishoudens!B8</f>
        <v>33812.020607154111</v>
      </c>
      <c r="D11" s="1013">
        <f>huishoudens!C8</f>
        <v>0</v>
      </c>
      <c r="E11" s="1013">
        <f>huishoudens!D8</f>
        <v>60481.597176673633</v>
      </c>
      <c r="F11" s="1013">
        <f>huishoudens!E8</f>
        <v>2629.7351360837874</v>
      </c>
      <c r="G11" s="1013">
        <f>huishoudens!F8</f>
        <v>45739.424838191138</v>
      </c>
      <c r="H11" s="1013">
        <f>huishoudens!G8</f>
        <v>0</v>
      </c>
      <c r="I11" s="1013">
        <f>huishoudens!H8</f>
        <v>0</v>
      </c>
      <c r="J11" s="1013">
        <f>huishoudens!I8</f>
        <v>0</v>
      </c>
      <c r="K11" s="1013">
        <f>huishoudens!J8</f>
        <v>0</v>
      </c>
      <c r="L11" s="1013">
        <f>huishoudens!K8</f>
        <v>0</v>
      </c>
      <c r="M11" s="1013">
        <f>huishoudens!L8</f>
        <v>0</v>
      </c>
      <c r="N11" s="1013">
        <f>huishoudens!M8</f>
        <v>0</v>
      </c>
      <c r="O11" s="1013">
        <f>huishoudens!N8</f>
        <v>9549.666360369707</v>
      </c>
      <c r="P11" s="1013">
        <f>huishoudens!O8</f>
        <v>275.1466666666667</v>
      </c>
      <c r="Q11" s="1014">
        <f>huishoudens!P8</f>
        <v>2345.1999999999998</v>
      </c>
      <c r="R11" s="700">
        <f>SUM(C11:Q11)</f>
        <v>154832.79078513905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22102.070204404397</v>
      </c>
      <c r="D13" s="1013">
        <f>industrie!C18</f>
        <v>0</v>
      </c>
      <c r="E13" s="1013">
        <f>industrie!D18</f>
        <v>24695.233804472944</v>
      </c>
      <c r="F13" s="1013">
        <f>industrie!E18</f>
        <v>563.37514835901084</v>
      </c>
      <c r="G13" s="1013">
        <f>industrie!F18</f>
        <v>2833.1209024192831</v>
      </c>
      <c r="H13" s="1013">
        <f>industrie!G18</f>
        <v>0</v>
      </c>
      <c r="I13" s="1013">
        <f>industrie!H18</f>
        <v>0</v>
      </c>
      <c r="J13" s="1013">
        <f>industrie!I18</f>
        <v>0</v>
      </c>
      <c r="K13" s="1013">
        <f>industrie!J18</f>
        <v>14.021010770905976</v>
      </c>
      <c r="L13" s="1013">
        <f>industrie!K18</f>
        <v>0</v>
      </c>
      <c r="M13" s="1013">
        <f>industrie!L18</f>
        <v>0</v>
      </c>
      <c r="N13" s="1013">
        <f>industrie!M18</f>
        <v>0</v>
      </c>
      <c r="O13" s="1013">
        <f>industrie!N18</f>
        <v>2394.3599157893896</v>
      </c>
      <c r="P13" s="1013">
        <f>industrie!O18</f>
        <v>0</v>
      </c>
      <c r="Q13" s="1014">
        <f>industrie!P18</f>
        <v>0</v>
      </c>
      <c r="R13" s="700">
        <f>SUM(C13:Q13)</f>
        <v>52602.180986215935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76425.118170337053</v>
      </c>
      <c r="D16" s="732">
        <f t="shared" ref="D16:R16" ca="1" si="0">SUM(D9:D15)</f>
        <v>0</v>
      </c>
      <c r="E16" s="732">
        <f t="shared" ca="1" si="0"/>
        <v>108652.80335479252</v>
      </c>
      <c r="F16" s="732">
        <f t="shared" si="0"/>
        <v>3524.7851819292691</v>
      </c>
      <c r="G16" s="732">
        <f t="shared" ca="1" si="0"/>
        <v>52096.245993695295</v>
      </c>
      <c r="H16" s="732">
        <f t="shared" si="0"/>
        <v>0</v>
      </c>
      <c r="I16" s="732">
        <f t="shared" si="0"/>
        <v>0</v>
      </c>
      <c r="J16" s="732">
        <f t="shared" si="0"/>
        <v>0</v>
      </c>
      <c r="K16" s="732">
        <f t="shared" si="0"/>
        <v>14.08782412559834</v>
      </c>
      <c r="L16" s="732">
        <f t="shared" si="0"/>
        <v>0</v>
      </c>
      <c r="M16" s="732">
        <f t="shared" ca="1" si="0"/>
        <v>0</v>
      </c>
      <c r="N16" s="732">
        <f t="shared" si="0"/>
        <v>0</v>
      </c>
      <c r="O16" s="732">
        <f t="shared" ca="1" si="0"/>
        <v>14591.154200592051</v>
      </c>
      <c r="P16" s="732">
        <f t="shared" si="0"/>
        <v>276.71000000000004</v>
      </c>
      <c r="Q16" s="732">
        <f t="shared" si="0"/>
        <v>2421.4666666666667</v>
      </c>
      <c r="R16" s="732">
        <f t="shared" ca="1" si="0"/>
        <v>258002.37139213848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2340.916675568501</v>
      </c>
      <c r="I19" s="1013">
        <f>transport!H54</f>
        <v>0</v>
      </c>
      <c r="J19" s="1013">
        <f>transport!I54</f>
        <v>0</v>
      </c>
      <c r="K19" s="1013">
        <f>transport!J54</f>
        <v>0</v>
      </c>
      <c r="L19" s="1013">
        <f>transport!K54</f>
        <v>0</v>
      </c>
      <c r="M19" s="1013">
        <f>transport!L54</f>
        <v>0</v>
      </c>
      <c r="N19" s="1013">
        <f>transport!M54</f>
        <v>132.95373301681667</v>
      </c>
      <c r="O19" s="1013">
        <f>transport!N54</f>
        <v>0</v>
      </c>
      <c r="P19" s="1013">
        <f>transport!O54</f>
        <v>0</v>
      </c>
      <c r="Q19" s="1014">
        <f>transport!P54</f>
        <v>0</v>
      </c>
      <c r="R19" s="700">
        <f>SUM(C19:Q19)</f>
        <v>2473.8704085853178</v>
      </c>
      <c r="S19" s="67"/>
    </row>
    <row r="20" spans="1:19" s="473" customFormat="1">
      <c r="A20" s="809" t="s">
        <v>307</v>
      </c>
      <c r="B20" s="814"/>
      <c r="C20" s="1013">
        <f>transport!B14</f>
        <v>52.777348436818741</v>
      </c>
      <c r="D20" s="1013">
        <f>transport!C14</f>
        <v>0</v>
      </c>
      <c r="E20" s="1013">
        <f>transport!D14</f>
        <v>221.19207664373477</v>
      </c>
      <c r="F20" s="1013">
        <f>transport!E14</f>
        <v>307.2852187904362</v>
      </c>
      <c r="G20" s="1013">
        <f>transport!F14</f>
        <v>0</v>
      </c>
      <c r="H20" s="1013">
        <f>transport!G14</f>
        <v>100093.40403728558</v>
      </c>
      <c r="I20" s="1013">
        <f>transport!H14</f>
        <v>24992.646918848346</v>
      </c>
      <c r="J20" s="1013">
        <f>transport!I14</f>
        <v>0</v>
      </c>
      <c r="K20" s="1013">
        <f>transport!J14</f>
        <v>0</v>
      </c>
      <c r="L20" s="1013">
        <f>transport!K14</f>
        <v>0</v>
      </c>
      <c r="M20" s="1013">
        <f>transport!L14</f>
        <v>0</v>
      </c>
      <c r="N20" s="1013">
        <f>transport!M14</f>
        <v>6585.2568294323155</v>
      </c>
      <c r="O20" s="1013">
        <f>transport!N14</f>
        <v>0</v>
      </c>
      <c r="P20" s="1013">
        <f>transport!O14</f>
        <v>0</v>
      </c>
      <c r="Q20" s="1014">
        <f>transport!P14</f>
        <v>0</v>
      </c>
      <c r="R20" s="700">
        <f>SUM(C20:Q20)</f>
        <v>132252.56242943724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52.777348436818741</v>
      </c>
      <c r="D22" s="812">
        <f t="shared" ref="D22:R22" si="1">SUM(D18:D21)</f>
        <v>0</v>
      </c>
      <c r="E22" s="812">
        <f t="shared" si="1"/>
        <v>221.19207664373477</v>
      </c>
      <c r="F22" s="812">
        <f t="shared" si="1"/>
        <v>307.2852187904362</v>
      </c>
      <c r="G22" s="812">
        <f t="shared" si="1"/>
        <v>0</v>
      </c>
      <c r="H22" s="812">
        <f t="shared" si="1"/>
        <v>102434.32071285408</v>
      </c>
      <c r="I22" s="812">
        <f t="shared" si="1"/>
        <v>24992.646918848346</v>
      </c>
      <c r="J22" s="812">
        <f t="shared" si="1"/>
        <v>0</v>
      </c>
      <c r="K22" s="812">
        <f t="shared" si="1"/>
        <v>0</v>
      </c>
      <c r="L22" s="812">
        <f t="shared" si="1"/>
        <v>0</v>
      </c>
      <c r="M22" s="812">
        <f t="shared" si="1"/>
        <v>0</v>
      </c>
      <c r="N22" s="812">
        <f t="shared" si="1"/>
        <v>6718.2105624491323</v>
      </c>
      <c r="O22" s="812">
        <f t="shared" si="1"/>
        <v>0</v>
      </c>
      <c r="P22" s="812">
        <f t="shared" si="1"/>
        <v>0</v>
      </c>
      <c r="Q22" s="812">
        <f t="shared" si="1"/>
        <v>0</v>
      </c>
      <c r="R22" s="812">
        <f t="shared" si="1"/>
        <v>134726.43283802256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3400.978823850422</v>
      </c>
      <c r="D24" s="1013">
        <f>+landbouw!C8</f>
        <v>0</v>
      </c>
      <c r="E24" s="1013">
        <f>+landbouw!D8</f>
        <v>3577.556600736365</v>
      </c>
      <c r="F24" s="1013">
        <f>+landbouw!E8</f>
        <v>99.965155421266047</v>
      </c>
      <c r="G24" s="1013">
        <f>+landbouw!F8</f>
        <v>14168.294000911363</v>
      </c>
      <c r="H24" s="1013">
        <f>+landbouw!G8</f>
        <v>0</v>
      </c>
      <c r="I24" s="1013">
        <f>+landbouw!H8</f>
        <v>0</v>
      </c>
      <c r="J24" s="1013">
        <f>+landbouw!I8</f>
        <v>0</v>
      </c>
      <c r="K24" s="1013">
        <f>+landbouw!J8</f>
        <v>492.72879471963938</v>
      </c>
      <c r="L24" s="1013">
        <f>+landbouw!K8</f>
        <v>0</v>
      </c>
      <c r="M24" s="1013">
        <f>+landbouw!L8</f>
        <v>0</v>
      </c>
      <c r="N24" s="1013">
        <f>+landbouw!M8</f>
        <v>0</v>
      </c>
      <c r="O24" s="1013">
        <f>+landbouw!N8</f>
        <v>0</v>
      </c>
      <c r="P24" s="1013">
        <f>+landbouw!O8</f>
        <v>0</v>
      </c>
      <c r="Q24" s="1014">
        <f>+landbouw!P8</f>
        <v>0</v>
      </c>
      <c r="R24" s="700">
        <f>SUM(C24:Q24)</f>
        <v>21739.523375639055</v>
      </c>
      <c r="S24" s="67"/>
    </row>
    <row r="25" spans="1:19" s="473" customFormat="1" ht="15" thickBot="1">
      <c r="A25" s="831" t="s">
        <v>836</v>
      </c>
      <c r="B25" s="1016"/>
      <c r="C25" s="1017">
        <f>IF(Onbekend_ele_kWh="---",0,Onbekend_ele_kWh)/1000+IF(REST_rest_ele_kWh="---",0,REST_rest_ele_kWh)/1000</f>
        <v>1898.4318268890299</v>
      </c>
      <c r="D25" s="1017"/>
      <c r="E25" s="1017">
        <f>IF(onbekend_gas_kWh="---",0,onbekend_gas_kWh)/1000+IF(REST_rest_gas_kWh="---",0,REST_rest_gas_kWh)/1000</f>
        <v>1578.5788271561501</v>
      </c>
      <c r="F25" s="1017"/>
      <c r="G25" s="1017"/>
      <c r="H25" s="1017"/>
      <c r="I25" s="1017"/>
      <c r="J25" s="1017"/>
      <c r="K25" s="1017"/>
      <c r="L25" s="1017"/>
      <c r="M25" s="1017"/>
      <c r="N25" s="1017"/>
      <c r="O25" s="1017"/>
      <c r="P25" s="1017"/>
      <c r="Q25" s="1018"/>
      <c r="R25" s="700">
        <f>SUM(C25:Q25)</f>
        <v>3477.0106540451798</v>
      </c>
      <c r="S25" s="67"/>
    </row>
    <row r="26" spans="1:19" s="473" customFormat="1" ht="15.75" thickBot="1">
      <c r="A26" s="705" t="s">
        <v>837</v>
      </c>
      <c r="B26" s="817"/>
      <c r="C26" s="812">
        <f>SUM(C24:C25)</f>
        <v>5299.4106507394517</v>
      </c>
      <c r="D26" s="812">
        <f t="shared" ref="D26:R26" si="2">SUM(D24:D25)</f>
        <v>0</v>
      </c>
      <c r="E26" s="812">
        <f t="shared" si="2"/>
        <v>5156.1354278925155</v>
      </c>
      <c r="F26" s="812">
        <f t="shared" si="2"/>
        <v>99.965155421266047</v>
      </c>
      <c r="G26" s="812">
        <f t="shared" si="2"/>
        <v>14168.294000911363</v>
      </c>
      <c r="H26" s="812">
        <f t="shared" si="2"/>
        <v>0</v>
      </c>
      <c r="I26" s="812">
        <f t="shared" si="2"/>
        <v>0</v>
      </c>
      <c r="J26" s="812">
        <f t="shared" si="2"/>
        <v>0</v>
      </c>
      <c r="K26" s="812">
        <f t="shared" si="2"/>
        <v>492.72879471963938</v>
      </c>
      <c r="L26" s="812">
        <f t="shared" si="2"/>
        <v>0</v>
      </c>
      <c r="M26" s="812">
        <f t="shared" si="2"/>
        <v>0</v>
      </c>
      <c r="N26" s="812">
        <f t="shared" si="2"/>
        <v>0</v>
      </c>
      <c r="O26" s="812">
        <f t="shared" si="2"/>
        <v>0</v>
      </c>
      <c r="P26" s="812">
        <f t="shared" si="2"/>
        <v>0</v>
      </c>
      <c r="Q26" s="812">
        <f t="shared" si="2"/>
        <v>0</v>
      </c>
      <c r="R26" s="812">
        <f t="shared" si="2"/>
        <v>25216.534029684233</v>
      </c>
      <c r="S26" s="67"/>
    </row>
    <row r="27" spans="1:19" s="473" customFormat="1" ht="17.25" thickTop="1" thickBot="1">
      <c r="A27" s="706" t="s">
        <v>116</v>
      </c>
      <c r="B27" s="805"/>
      <c r="C27" s="707">
        <f ca="1">C22+C16+C26</f>
        <v>81777.306169513322</v>
      </c>
      <c r="D27" s="707">
        <f t="shared" ref="D27:R27" ca="1" si="3">D22+D16+D26</f>
        <v>0</v>
      </c>
      <c r="E27" s="707">
        <f t="shared" ca="1" si="3"/>
        <v>114030.13085932877</v>
      </c>
      <c r="F27" s="707">
        <f t="shared" si="3"/>
        <v>3932.0355561409715</v>
      </c>
      <c r="G27" s="707">
        <f t="shared" ca="1" si="3"/>
        <v>66264.539994606661</v>
      </c>
      <c r="H27" s="707">
        <f t="shared" si="3"/>
        <v>102434.32071285408</v>
      </c>
      <c r="I27" s="707">
        <f t="shared" si="3"/>
        <v>24992.646918848346</v>
      </c>
      <c r="J27" s="707">
        <f t="shared" si="3"/>
        <v>0</v>
      </c>
      <c r="K27" s="707">
        <f t="shared" si="3"/>
        <v>506.81661884523771</v>
      </c>
      <c r="L27" s="707">
        <f t="shared" si="3"/>
        <v>0</v>
      </c>
      <c r="M27" s="707">
        <f t="shared" ca="1" si="3"/>
        <v>0</v>
      </c>
      <c r="N27" s="707">
        <f t="shared" si="3"/>
        <v>6718.2105624491323</v>
      </c>
      <c r="O27" s="707">
        <f t="shared" ca="1" si="3"/>
        <v>14591.154200592051</v>
      </c>
      <c r="P27" s="707">
        <f t="shared" si="3"/>
        <v>276.71000000000004</v>
      </c>
      <c r="Q27" s="707">
        <f t="shared" si="3"/>
        <v>2421.4666666666667</v>
      </c>
      <c r="R27" s="707">
        <f t="shared" ca="1" si="3"/>
        <v>417945.33825984527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4173.3789069071981</v>
      </c>
      <c r="D40" s="1013">
        <f ca="1">tertiair!C20</f>
        <v>0</v>
      </c>
      <c r="E40" s="1013">
        <f ca="1">tertiair!D20</f>
        <v>4742.1464194764812</v>
      </c>
      <c r="F40" s="1013">
        <f>tertiair!E20</f>
        <v>75.290201729428901</v>
      </c>
      <c r="G40" s="1013">
        <f ca="1">tertiair!F20</f>
        <v>940.82796757366157</v>
      </c>
      <c r="H40" s="1013">
        <f>tertiair!G20</f>
        <v>0</v>
      </c>
      <c r="I40" s="1013">
        <f>tertiair!H20</f>
        <v>0</v>
      </c>
      <c r="J40" s="1013">
        <f>tertiair!I20</f>
        <v>0</v>
      </c>
      <c r="K40" s="1013">
        <f>tertiair!J20</f>
        <v>2.3651927561096832E-2</v>
      </c>
      <c r="L40" s="1013">
        <f>tertiair!K20</f>
        <v>0</v>
      </c>
      <c r="M40" s="1013">
        <f ca="1">tertiair!L20</f>
        <v>0</v>
      </c>
      <c r="N40" s="1013">
        <f>tertiair!M20</f>
        <v>0</v>
      </c>
      <c r="O40" s="1013">
        <f ca="1">tertiair!N20</f>
        <v>0</v>
      </c>
      <c r="P40" s="1013">
        <f>tertiair!O20</f>
        <v>0</v>
      </c>
      <c r="Q40" s="774">
        <f>tertiair!P20</f>
        <v>0</v>
      </c>
      <c r="R40" s="850">
        <f t="shared" ca="1" si="4"/>
        <v>9931.6671476143292</v>
      </c>
    </row>
    <row r="41" spans="1:18">
      <c r="A41" s="822" t="s">
        <v>225</v>
      </c>
      <c r="B41" s="829"/>
      <c r="C41" s="1013">
        <f ca="1">huishoudens!B12</f>
        <v>6879.7321135362081</v>
      </c>
      <c r="D41" s="1013">
        <f ca="1">huishoudens!C12</f>
        <v>0</v>
      </c>
      <c r="E41" s="1013">
        <f>huishoudens!D12</f>
        <v>12217.282629688074</v>
      </c>
      <c r="F41" s="1013">
        <f>huishoudens!E12</f>
        <v>596.94987589101981</v>
      </c>
      <c r="G41" s="1013">
        <f>huishoudens!F12</f>
        <v>12212.426431797036</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31906.391050912338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4497.1084079104075</v>
      </c>
      <c r="D43" s="1013">
        <f ca="1">industrie!C22</f>
        <v>0</v>
      </c>
      <c r="E43" s="1013">
        <f>industrie!D22</f>
        <v>4988.4372285035352</v>
      </c>
      <c r="F43" s="1013">
        <f>industrie!E22</f>
        <v>127.88615867749546</v>
      </c>
      <c r="G43" s="1013">
        <f>industrie!F22</f>
        <v>756.44328094594857</v>
      </c>
      <c r="H43" s="1013">
        <f>industrie!G22</f>
        <v>0</v>
      </c>
      <c r="I43" s="1013">
        <f>industrie!H22</f>
        <v>0</v>
      </c>
      <c r="J43" s="1013">
        <f>industrie!I22</f>
        <v>0</v>
      </c>
      <c r="K43" s="1013">
        <f>industrie!J22</f>
        <v>4.9634378129007155</v>
      </c>
      <c r="L43" s="1013">
        <f>industrie!K22</f>
        <v>0</v>
      </c>
      <c r="M43" s="1013">
        <f>industrie!L22</f>
        <v>0</v>
      </c>
      <c r="N43" s="1013">
        <f>industrie!M22</f>
        <v>0</v>
      </c>
      <c r="O43" s="1013">
        <f>industrie!N22</f>
        <v>0</v>
      </c>
      <c r="P43" s="1013">
        <f>industrie!O22</f>
        <v>0</v>
      </c>
      <c r="Q43" s="774">
        <f>industrie!P22</f>
        <v>0</v>
      </c>
      <c r="R43" s="849">
        <f t="shared" ca="1" si="4"/>
        <v>10374.838513850287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15550.219428353814</v>
      </c>
      <c r="D46" s="732">
        <f t="shared" ref="D46:Q46" ca="1" si="5">SUM(D39:D45)</f>
        <v>0</v>
      </c>
      <c r="E46" s="732">
        <f t="shared" ca="1" si="5"/>
        <v>21947.86627766809</v>
      </c>
      <c r="F46" s="732">
        <f t="shared" si="5"/>
        <v>800.12623629794416</v>
      </c>
      <c r="G46" s="732">
        <f t="shared" ca="1" si="5"/>
        <v>13909.697680316645</v>
      </c>
      <c r="H46" s="732">
        <f t="shared" si="5"/>
        <v>0</v>
      </c>
      <c r="I46" s="732">
        <f t="shared" si="5"/>
        <v>0</v>
      </c>
      <c r="J46" s="732">
        <f t="shared" si="5"/>
        <v>0</v>
      </c>
      <c r="K46" s="732">
        <f t="shared" si="5"/>
        <v>4.987089740461812</v>
      </c>
      <c r="L46" s="732">
        <f t="shared" si="5"/>
        <v>0</v>
      </c>
      <c r="M46" s="732">
        <f t="shared" ca="1" si="5"/>
        <v>0</v>
      </c>
      <c r="N46" s="732">
        <f t="shared" si="5"/>
        <v>0</v>
      </c>
      <c r="O46" s="732">
        <f t="shared" ca="1" si="5"/>
        <v>0</v>
      </c>
      <c r="P46" s="732">
        <f t="shared" si="5"/>
        <v>0</v>
      </c>
      <c r="Q46" s="732">
        <f t="shared" si="5"/>
        <v>0</v>
      </c>
      <c r="R46" s="732">
        <f ca="1">SUM(R39:R45)</f>
        <v>52212.896712376954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625.02475237678982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625.02475237678982</v>
      </c>
    </row>
    <row r="50" spans="1:18">
      <c r="A50" s="825" t="s">
        <v>307</v>
      </c>
      <c r="B50" s="835"/>
      <c r="C50" s="703">
        <f ca="1">transport!B18</f>
        <v>10.738607524427175</v>
      </c>
      <c r="D50" s="703">
        <f>transport!C18</f>
        <v>0</v>
      </c>
      <c r="E50" s="703">
        <f>transport!D18</f>
        <v>44.680799482034423</v>
      </c>
      <c r="F50" s="703">
        <f>transport!E18</f>
        <v>69.753744665429025</v>
      </c>
      <c r="G50" s="703">
        <f>transport!F18</f>
        <v>0</v>
      </c>
      <c r="H50" s="703">
        <f>transport!G18</f>
        <v>26724.93887795525</v>
      </c>
      <c r="I50" s="703">
        <f>transport!H18</f>
        <v>6223.169082793238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33073.28111242038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10.738607524427175</v>
      </c>
      <c r="D52" s="732">
        <f t="shared" ref="D52:Q52" ca="1" si="6">SUM(D48:D51)</f>
        <v>0</v>
      </c>
      <c r="E52" s="732">
        <f t="shared" si="6"/>
        <v>44.680799482034423</v>
      </c>
      <c r="F52" s="732">
        <f t="shared" si="6"/>
        <v>69.753744665429025</v>
      </c>
      <c r="G52" s="732">
        <f t="shared" si="6"/>
        <v>0</v>
      </c>
      <c r="H52" s="732">
        <f t="shared" si="6"/>
        <v>27349.96363033204</v>
      </c>
      <c r="I52" s="732">
        <f t="shared" si="6"/>
        <v>6223.169082793238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33698.30586479717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691.99718951282455</v>
      </c>
      <c r="D54" s="703">
        <f ca="1">+landbouw!C12</f>
        <v>0</v>
      </c>
      <c r="E54" s="703">
        <f>+landbouw!D12</f>
        <v>722.66643334874573</v>
      </c>
      <c r="F54" s="703">
        <f>+landbouw!E12</f>
        <v>22.692090280627394</v>
      </c>
      <c r="G54" s="703">
        <f>+landbouw!F12</f>
        <v>3782.934498243334</v>
      </c>
      <c r="H54" s="703">
        <f>+landbouw!G12</f>
        <v>0</v>
      </c>
      <c r="I54" s="703">
        <f>+landbouw!H12</f>
        <v>0</v>
      </c>
      <c r="J54" s="703">
        <f>+landbouw!I12</f>
        <v>0</v>
      </c>
      <c r="K54" s="703">
        <f>+landbouw!J12</f>
        <v>174.42599333075233</v>
      </c>
      <c r="L54" s="703">
        <f>+landbouw!K12</f>
        <v>0</v>
      </c>
      <c r="M54" s="703">
        <f>+landbouw!L12</f>
        <v>0</v>
      </c>
      <c r="N54" s="703">
        <f>+landbouw!M12</f>
        <v>0</v>
      </c>
      <c r="O54" s="703">
        <f>+landbouw!N12</f>
        <v>0</v>
      </c>
      <c r="P54" s="703">
        <f>+landbouw!O12</f>
        <v>0</v>
      </c>
      <c r="Q54" s="704">
        <f>+landbouw!P12</f>
        <v>0</v>
      </c>
      <c r="R54" s="731">
        <f ca="1">SUM(C54:Q54)</f>
        <v>5394.7162047162838</v>
      </c>
    </row>
    <row r="55" spans="1:18" ht="15" thickBot="1">
      <c r="A55" s="825" t="s">
        <v>836</v>
      </c>
      <c r="B55" s="835"/>
      <c r="C55" s="703">
        <f ca="1">C25*'EF ele_warmte'!B12</f>
        <v>386.27393957178128</v>
      </c>
      <c r="D55" s="703"/>
      <c r="E55" s="703">
        <f>E25*EF_CO2_aardgas</f>
        <v>318.87292308554231</v>
      </c>
      <c r="F55" s="703"/>
      <c r="G55" s="703"/>
      <c r="H55" s="703"/>
      <c r="I55" s="703"/>
      <c r="J55" s="703"/>
      <c r="K55" s="703"/>
      <c r="L55" s="703"/>
      <c r="M55" s="703"/>
      <c r="N55" s="703"/>
      <c r="O55" s="703"/>
      <c r="P55" s="703"/>
      <c r="Q55" s="704"/>
      <c r="R55" s="731">
        <f ca="1">SUM(C55:Q55)</f>
        <v>705.1468626573236</v>
      </c>
    </row>
    <row r="56" spans="1:18" ht="15.75" thickBot="1">
      <c r="A56" s="823" t="s">
        <v>837</v>
      </c>
      <c r="B56" s="836"/>
      <c r="C56" s="732">
        <f ca="1">SUM(C54:C55)</f>
        <v>1078.2711290846059</v>
      </c>
      <c r="D56" s="732">
        <f t="shared" ref="D56:Q56" ca="1" si="7">SUM(D54:D55)</f>
        <v>0</v>
      </c>
      <c r="E56" s="732">
        <f t="shared" si="7"/>
        <v>1041.539356434288</v>
      </c>
      <c r="F56" s="732">
        <f t="shared" si="7"/>
        <v>22.692090280627394</v>
      </c>
      <c r="G56" s="732">
        <f t="shared" si="7"/>
        <v>3782.934498243334</v>
      </c>
      <c r="H56" s="732">
        <f t="shared" si="7"/>
        <v>0</v>
      </c>
      <c r="I56" s="732">
        <f t="shared" si="7"/>
        <v>0</v>
      </c>
      <c r="J56" s="732">
        <f t="shared" si="7"/>
        <v>0</v>
      </c>
      <c r="K56" s="732">
        <f t="shared" si="7"/>
        <v>174.42599333075233</v>
      </c>
      <c r="L56" s="732">
        <f t="shared" si="7"/>
        <v>0</v>
      </c>
      <c r="M56" s="732">
        <f t="shared" si="7"/>
        <v>0</v>
      </c>
      <c r="N56" s="732">
        <f t="shared" si="7"/>
        <v>0</v>
      </c>
      <c r="O56" s="732">
        <f t="shared" si="7"/>
        <v>0</v>
      </c>
      <c r="P56" s="732">
        <f t="shared" si="7"/>
        <v>0</v>
      </c>
      <c r="Q56" s="733">
        <f t="shared" si="7"/>
        <v>0</v>
      </c>
      <c r="R56" s="734">
        <f ca="1">SUM(R54:R55)</f>
        <v>6099.863067373607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16639.229164962846</v>
      </c>
      <c r="D61" s="740">
        <f t="shared" ref="D61:Q61" ca="1" si="8">D46+D52+D56</f>
        <v>0</v>
      </c>
      <c r="E61" s="740">
        <f t="shared" ca="1" si="8"/>
        <v>23034.086433584413</v>
      </c>
      <c r="F61" s="740">
        <f t="shared" si="8"/>
        <v>892.57207124400065</v>
      </c>
      <c r="G61" s="740">
        <f t="shared" ca="1" si="8"/>
        <v>17692.632178559979</v>
      </c>
      <c r="H61" s="740">
        <f t="shared" si="8"/>
        <v>27349.96363033204</v>
      </c>
      <c r="I61" s="740">
        <f t="shared" si="8"/>
        <v>6223.169082793238</v>
      </c>
      <c r="J61" s="740">
        <f t="shared" si="8"/>
        <v>0</v>
      </c>
      <c r="K61" s="740">
        <f t="shared" si="8"/>
        <v>179.41308307121415</v>
      </c>
      <c r="L61" s="740">
        <f t="shared" si="8"/>
        <v>0</v>
      </c>
      <c r="M61" s="740">
        <f t="shared" ca="1" si="8"/>
        <v>0</v>
      </c>
      <c r="N61" s="740">
        <f t="shared" si="8"/>
        <v>0</v>
      </c>
      <c r="O61" s="740">
        <f t="shared" ca="1" si="8"/>
        <v>0</v>
      </c>
      <c r="P61" s="740">
        <f t="shared" si="8"/>
        <v>0</v>
      </c>
      <c r="Q61" s="740">
        <f t="shared" si="8"/>
        <v>0</v>
      </c>
      <c r="R61" s="740">
        <f ca="1">R46+R52+R56</f>
        <v>92011.065644547722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0.2034700082987812</v>
      </c>
      <c r="D63" s="781">
        <f t="shared" ca="1" si="9"/>
        <v>0</v>
      </c>
      <c r="E63" s="1024">
        <f t="shared" ca="1" si="9"/>
        <v>0.20200000000000001</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6486.6764637990864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6486.6764637990864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33812.020607154111</v>
      </c>
      <c r="C4" s="477">
        <f>huishoudens!C8</f>
        <v>0</v>
      </c>
      <c r="D4" s="477">
        <f>huishoudens!D8</f>
        <v>60481.597176673633</v>
      </c>
      <c r="E4" s="477">
        <f>huishoudens!E8</f>
        <v>2629.7351360837874</v>
      </c>
      <c r="F4" s="477">
        <f>huishoudens!F8</f>
        <v>45739.424838191138</v>
      </c>
      <c r="G4" s="477">
        <f>huishoudens!G8</f>
        <v>0</v>
      </c>
      <c r="H4" s="477">
        <f>huishoudens!H8</f>
        <v>0</v>
      </c>
      <c r="I4" s="477">
        <f>huishoudens!I8</f>
        <v>0</v>
      </c>
      <c r="J4" s="477">
        <f>huishoudens!J8</f>
        <v>0</v>
      </c>
      <c r="K4" s="477">
        <f>huishoudens!K8</f>
        <v>0</v>
      </c>
      <c r="L4" s="477">
        <f>huishoudens!L8</f>
        <v>0</v>
      </c>
      <c r="M4" s="477">
        <f>huishoudens!M8</f>
        <v>0</v>
      </c>
      <c r="N4" s="477">
        <f>huishoudens!N8</f>
        <v>9549.666360369707</v>
      </c>
      <c r="O4" s="477">
        <f>huishoudens!O8</f>
        <v>275.1466666666667</v>
      </c>
      <c r="P4" s="478">
        <f>huishoudens!P8</f>
        <v>2345.1999999999998</v>
      </c>
      <c r="Q4" s="479">
        <f>SUM(B4:P4)</f>
        <v>154832.79078513905</v>
      </c>
    </row>
    <row r="5" spans="1:17">
      <c r="A5" s="476" t="s">
        <v>156</v>
      </c>
      <c r="B5" s="477">
        <f ca="1">tertiair!B16</f>
        <v>19206.889358778542</v>
      </c>
      <c r="C5" s="477">
        <f ca="1">tertiair!C16</f>
        <v>0</v>
      </c>
      <c r="D5" s="477">
        <f ca="1">tertiair!D16</f>
        <v>23475.972373645945</v>
      </c>
      <c r="E5" s="477">
        <f>tertiair!E16</f>
        <v>331.67489748647091</v>
      </c>
      <c r="F5" s="477">
        <f ca="1">tertiair!F16</f>
        <v>3523.7002530848745</v>
      </c>
      <c r="G5" s="477">
        <f>tertiair!G16</f>
        <v>0</v>
      </c>
      <c r="H5" s="477">
        <f>tertiair!H16</f>
        <v>0</v>
      </c>
      <c r="I5" s="477">
        <f>tertiair!I16</f>
        <v>0</v>
      </c>
      <c r="J5" s="477">
        <f>tertiair!J16</f>
        <v>6.6813354692363935E-2</v>
      </c>
      <c r="K5" s="477">
        <f>tertiair!K16</f>
        <v>0</v>
      </c>
      <c r="L5" s="477">
        <f ca="1">tertiair!L16</f>
        <v>0</v>
      </c>
      <c r="M5" s="477">
        <f>tertiair!M16</f>
        <v>0</v>
      </c>
      <c r="N5" s="477">
        <f ca="1">tertiair!N16</f>
        <v>2647.1279244329548</v>
      </c>
      <c r="O5" s="477">
        <f>tertiair!O16</f>
        <v>1.5633333333333335</v>
      </c>
      <c r="P5" s="478">
        <f>tertiair!P16</f>
        <v>76.266666666666666</v>
      </c>
      <c r="Q5" s="476">
        <f t="shared" ref="Q5:Q14" ca="1" si="0">SUM(B5:P5)</f>
        <v>49263.26162078348</v>
      </c>
    </row>
    <row r="6" spans="1:17">
      <c r="A6" s="476" t="s">
        <v>194</v>
      </c>
      <c r="B6" s="477">
        <f>'openbare verlichting'!B8</f>
        <v>1304.1379999999999</v>
      </c>
      <c r="C6" s="477"/>
      <c r="D6" s="477"/>
      <c r="E6" s="477"/>
      <c r="F6" s="477"/>
      <c r="G6" s="477"/>
      <c r="H6" s="477"/>
      <c r="I6" s="477"/>
      <c r="J6" s="477"/>
      <c r="K6" s="477"/>
      <c r="L6" s="477"/>
      <c r="M6" s="477"/>
      <c r="N6" s="477"/>
      <c r="O6" s="477"/>
      <c r="P6" s="478"/>
      <c r="Q6" s="476">
        <f t="shared" si="0"/>
        <v>1304.1379999999999</v>
      </c>
    </row>
    <row r="7" spans="1:17">
      <c r="A7" s="476" t="s">
        <v>112</v>
      </c>
      <c r="B7" s="477">
        <f>landbouw!B8</f>
        <v>3400.978823850422</v>
      </c>
      <c r="C7" s="477">
        <f>landbouw!C8</f>
        <v>0</v>
      </c>
      <c r="D7" s="477">
        <f>landbouw!D8</f>
        <v>3577.556600736365</v>
      </c>
      <c r="E7" s="477">
        <f>landbouw!E8</f>
        <v>99.965155421266047</v>
      </c>
      <c r="F7" s="477">
        <f>landbouw!F8</f>
        <v>14168.294000911363</v>
      </c>
      <c r="G7" s="477">
        <f>landbouw!G8</f>
        <v>0</v>
      </c>
      <c r="H7" s="477">
        <f>landbouw!H8</f>
        <v>0</v>
      </c>
      <c r="I7" s="477">
        <f>landbouw!I8</f>
        <v>0</v>
      </c>
      <c r="J7" s="477">
        <f>landbouw!J8</f>
        <v>492.72879471963938</v>
      </c>
      <c r="K7" s="477">
        <f>landbouw!K8</f>
        <v>0</v>
      </c>
      <c r="L7" s="477">
        <f>landbouw!L8</f>
        <v>0</v>
      </c>
      <c r="M7" s="477">
        <f>landbouw!M8</f>
        <v>0</v>
      </c>
      <c r="N7" s="477">
        <f>landbouw!N8</f>
        <v>0</v>
      </c>
      <c r="O7" s="477">
        <f>landbouw!O8</f>
        <v>0</v>
      </c>
      <c r="P7" s="478">
        <f>landbouw!P8</f>
        <v>0</v>
      </c>
      <c r="Q7" s="476">
        <f t="shared" si="0"/>
        <v>21739.523375639055</v>
      </c>
    </row>
    <row r="8" spans="1:17">
      <c r="A8" s="476" t="s">
        <v>635</v>
      </c>
      <c r="B8" s="477">
        <f>industrie!B18</f>
        <v>22102.070204404397</v>
      </c>
      <c r="C8" s="477">
        <f>industrie!C18</f>
        <v>0</v>
      </c>
      <c r="D8" s="477">
        <f>industrie!D18</f>
        <v>24695.233804472944</v>
      </c>
      <c r="E8" s="477">
        <f>industrie!E18</f>
        <v>563.37514835901084</v>
      </c>
      <c r="F8" s="477">
        <f>industrie!F18</f>
        <v>2833.1209024192831</v>
      </c>
      <c r="G8" s="477">
        <f>industrie!G18</f>
        <v>0</v>
      </c>
      <c r="H8" s="477">
        <f>industrie!H18</f>
        <v>0</v>
      </c>
      <c r="I8" s="477">
        <f>industrie!I18</f>
        <v>0</v>
      </c>
      <c r="J8" s="477">
        <f>industrie!J18</f>
        <v>14.021010770905976</v>
      </c>
      <c r="K8" s="477">
        <f>industrie!K18</f>
        <v>0</v>
      </c>
      <c r="L8" s="477">
        <f>industrie!L18</f>
        <v>0</v>
      </c>
      <c r="M8" s="477">
        <f>industrie!M18</f>
        <v>0</v>
      </c>
      <c r="N8" s="477">
        <f>industrie!N18</f>
        <v>2394.3599157893896</v>
      </c>
      <c r="O8" s="477">
        <f>industrie!O18</f>
        <v>0</v>
      </c>
      <c r="P8" s="478">
        <f>industrie!P18</f>
        <v>0</v>
      </c>
      <c r="Q8" s="476">
        <f t="shared" si="0"/>
        <v>52602.180986215935</v>
      </c>
    </row>
    <row r="9" spans="1:17" s="482" customFormat="1">
      <c r="A9" s="480" t="s">
        <v>561</v>
      </c>
      <c r="B9" s="481">
        <f>transport!B14</f>
        <v>52.777348436818741</v>
      </c>
      <c r="C9" s="481">
        <f>transport!C14</f>
        <v>0</v>
      </c>
      <c r="D9" s="481">
        <f>transport!D14</f>
        <v>221.19207664373477</v>
      </c>
      <c r="E9" s="481">
        <f>transport!E14</f>
        <v>307.2852187904362</v>
      </c>
      <c r="F9" s="481">
        <f>transport!F14</f>
        <v>0</v>
      </c>
      <c r="G9" s="481">
        <f>transport!G14</f>
        <v>100093.40403728558</v>
      </c>
      <c r="H9" s="481">
        <f>transport!H14</f>
        <v>24992.646918848346</v>
      </c>
      <c r="I9" s="481">
        <f>transport!I14</f>
        <v>0</v>
      </c>
      <c r="J9" s="481">
        <f>transport!J14</f>
        <v>0</v>
      </c>
      <c r="K9" s="481">
        <f>transport!K14</f>
        <v>0</v>
      </c>
      <c r="L9" s="481">
        <f>transport!L14</f>
        <v>0</v>
      </c>
      <c r="M9" s="481">
        <f>transport!M14</f>
        <v>6585.2568294323155</v>
      </c>
      <c r="N9" s="481">
        <f>transport!N14</f>
        <v>0</v>
      </c>
      <c r="O9" s="481">
        <f>transport!O14</f>
        <v>0</v>
      </c>
      <c r="P9" s="481">
        <f>transport!P14</f>
        <v>0</v>
      </c>
      <c r="Q9" s="480">
        <f>SUM(B9:P9)</f>
        <v>132252.56242943724</v>
      </c>
    </row>
    <row r="10" spans="1:17">
      <c r="A10" s="476" t="s">
        <v>551</v>
      </c>
      <c r="B10" s="477">
        <f>transport!B54</f>
        <v>0</v>
      </c>
      <c r="C10" s="477">
        <f>transport!C54</f>
        <v>0</v>
      </c>
      <c r="D10" s="477">
        <f>transport!D54</f>
        <v>0</v>
      </c>
      <c r="E10" s="477">
        <f>transport!E54</f>
        <v>0</v>
      </c>
      <c r="F10" s="477">
        <f>transport!F54</f>
        <v>0</v>
      </c>
      <c r="G10" s="477">
        <f>transport!G54</f>
        <v>2340.916675568501</v>
      </c>
      <c r="H10" s="477">
        <f>transport!H54</f>
        <v>0</v>
      </c>
      <c r="I10" s="477">
        <f>transport!I54</f>
        <v>0</v>
      </c>
      <c r="J10" s="477">
        <f>transport!J54</f>
        <v>0</v>
      </c>
      <c r="K10" s="477">
        <f>transport!K54</f>
        <v>0</v>
      </c>
      <c r="L10" s="477">
        <f>transport!L54</f>
        <v>0</v>
      </c>
      <c r="M10" s="477">
        <f>transport!M54</f>
        <v>132.95373301681667</v>
      </c>
      <c r="N10" s="477">
        <f>transport!N54</f>
        <v>0</v>
      </c>
      <c r="O10" s="477">
        <f>transport!O54</f>
        <v>0</v>
      </c>
      <c r="P10" s="478">
        <f>transport!P54</f>
        <v>0</v>
      </c>
      <c r="Q10" s="476">
        <f t="shared" si="0"/>
        <v>2473.8704085853178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1898.4318268890299</v>
      </c>
      <c r="C14" s="484"/>
      <c r="D14" s="484">
        <f>'SEAP template'!E25</f>
        <v>1578.5788271561501</v>
      </c>
      <c r="E14" s="484"/>
      <c r="F14" s="484"/>
      <c r="G14" s="484"/>
      <c r="H14" s="484"/>
      <c r="I14" s="484"/>
      <c r="J14" s="484"/>
      <c r="K14" s="484"/>
      <c r="L14" s="484"/>
      <c r="M14" s="484"/>
      <c r="N14" s="484"/>
      <c r="O14" s="484"/>
      <c r="P14" s="485"/>
      <c r="Q14" s="476">
        <f t="shared" si="0"/>
        <v>3477.0106540451798</v>
      </c>
    </row>
    <row r="15" spans="1:17" s="486" customFormat="1">
      <c r="A15" s="1039" t="s">
        <v>555</v>
      </c>
      <c r="B15" s="987">
        <f ca="1">SUM(B4:B14)</f>
        <v>81777.306169513322</v>
      </c>
      <c r="C15" s="987">
        <f t="shared" ref="C15:Q15" ca="1" si="1">SUM(C4:C14)</f>
        <v>0</v>
      </c>
      <c r="D15" s="987">
        <f t="shared" ca="1" si="1"/>
        <v>114030.13085932877</v>
      </c>
      <c r="E15" s="987">
        <f t="shared" si="1"/>
        <v>3932.0355561409715</v>
      </c>
      <c r="F15" s="987">
        <f t="shared" ca="1" si="1"/>
        <v>66264.539994606661</v>
      </c>
      <c r="G15" s="987">
        <f t="shared" si="1"/>
        <v>102434.32071285408</v>
      </c>
      <c r="H15" s="987">
        <f t="shared" si="1"/>
        <v>24992.646918848346</v>
      </c>
      <c r="I15" s="987">
        <f t="shared" si="1"/>
        <v>0</v>
      </c>
      <c r="J15" s="987">
        <f t="shared" si="1"/>
        <v>506.81661884523777</v>
      </c>
      <c r="K15" s="987">
        <f t="shared" si="1"/>
        <v>0</v>
      </c>
      <c r="L15" s="987">
        <f t="shared" ca="1" si="1"/>
        <v>0</v>
      </c>
      <c r="M15" s="987">
        <f t="shared" si="1"/>
        <v>6718.2105624491323</v>
      </c>
      <c r="N15" s="987">
        <f t="shared" ca="1" si="1"/>
        <v>14591.154200592051</v>
      </c>
      <c r="O15" s="987">
        <f t="shared" si="1"/>
        <v>276.71000000000004</v>
      </c>
      <c r="P15" s="987">
        <f t="shared" si="1"/>
        <v>2421.4666666666667</v>
      </c>
      <c r="Q15" s="987">
        <f t="shared" ca="1" si="1"/>
        <v>417945.33825984522</v>
      </c>
    </row>
    <row r="17" spans="1:17">
      <c r="A17" s="487" t="s">
        <v>556</v>
      </c>
      <c r="B17" s="786">
        <f ca="1">huishoudens!B10</f>
        <v>0.2034700082987812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6879.7321135362081</v>
      </c>
      <c r="C22" s="477">
        <f t="shared" ref="C22:C32" ca="1" si="3">C4*$C$17</f>
        <v>0</v>
      </c>
      <c r="D22" s="477">
        <f t="shared" ref="D22:D32" si="4">D4*$D$17</f>
        <v>12217.282629688074</v>
      </c>
      <c r="E22" s="477">
        <f t="shared" ref="E22:E32" si="5">E4*$E$17</f>
        <v>596.94987589101981</v>
      </c>
      <c r="F22" s="477">
        <f t="shared" ref="F22:F32" si="6">F4*$F$17</f>
        <v>12212.426431797036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31906.391050912338</v>
      </c>
    </row>
    <row r="23" spans="1:17">
      <c r="A23" s="476" t="s">
        <v>156</v>
      </c>
      <c r="B23" s="477">
        <f t="shared" ca="1" si="2"/>
        <v>3908.0259372244423</v>
      </c>
      <c r="C23" s="477">
        <f t="shared" ca="1" si="3"/>
        <v>0</v>
      </c>
      <c r="D23" s="477">
        <f t="shared" ca="1" si="4"/>
        <v>4742.1464194764812</v>
      </c>
      <c r="E23" s="477">
        <f t="shared" si="5"/>
        <v>75.290201729428901</v>
      </c>
      <c r="F23" s="477">
        <f t="shared" ca="1" si="6"/>
        <v>940.82796757366157</v>
      </c>
      <c r="G23" s="477">
        <f t="shared" si="7"/>
        <v>0</v>
      </c>
      <c r="H23" s="477">
        <f t="shared" si="8"/>
        <v>0</v>
      </c>
      <c r="I23" s="477">
        <f t="shared" si="9"/>
        <v>0</v>
      </c>
      <c r="J23" s="477">
        <f t="shared" si="10"/>
        <v>2.3651927561096832E-2</v>
      </c>
      <c r="K23" s="477">
        <f t="shared" si="11"/>
        <v>0</v>
      </c>
      <c r="L23" s="477">
        <f t="shared" ca="1" si="12"/>
        <v>0</v>
      </c>
      <c r="M23" s="477">
        <f t="shared" si="13"/>
        <v>0</v>
      </c>
      <c r="N23" s="477">
        <f t="shared" ca="1" si="14"/>
        <v>0</v>
      </c>
      <c r="O23" s="477">
        <f t="shared" si="15"/>
        <v>0</v>
      </c>
      <c r="P23" s="478">
        <f t="shared" si="16"/>
        <v>0</v>
      </c>
      <c r="Q23" s="476">
        <f t="shared" ref="Q23:Q32" ca="1" si="17">SUM(B23:P23)</f>
        <v>9666.3141779315738</v>
      </c>
    </row>
    <row r="24" spans="1:17">
      <c r="A24" s="476" t="s">
        <v>194</v>
      </c>
      <c r="B24" s="477">
        <f t="shared" ca="1" si="2"/>
        <v>265.35296968275588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265.35296968275588</v>
      </c>
    </row>
    <row r="25" spans="1:17">
      <c r="A25" s="476" t="s">
        <v>112</v>
      </c>
      <c r="B25" s="477">
        <f t="shared" ca="1" si="2"/>
        <v>691.99718951282455</v>
      </c>
      <c r="C25" s="477">
        <f t="shared" ca="1" si="3"/>
        <v>0</v>
      </c>
      <c r="D25" s="477">
        <f t="shared" si="4"/>
        <v>722.66643334874573</v>
      </c>
      <c r="E25" s="477">
        <f t="shared" si="5"/>
        <v>22.692090280627394</v>
      </c>
      <c r="F25" s="477">
        <f t="shared" si="6"/>
        <v>3782.934498243334</v>
      </c>
      <c r="G25" s="477">
        <f t="shared" si="7"/>
        <v>0</v>
      </c>
      <c r="H25" s="477">
        <f t="shared" si="8"/>
        <v>0</v>
      </c>
      <c r="I25" s="477">
        <f t="shared" si="9"/>
        <v>0</v>
      </c>
      <c r="J25" s="477">
        <f t="shared" si="10"/>
        <v>174.42599333075233</v>
      </c>
      <c r="K25" s="477">
        <f t="shared" si="11"/>
        <v>0</v>
      </c>
      <c r="L25" s="477">
        <f t="shared" si="12"/>
        <v>0</v>
      </c>
      <c r="M25" s="477">
        <f t="shared" si="13"/>
        <v>0</v>
      </c>
      <c r="N25" s="477">
        <f t="shared" si="14"/>
        <v>0</v>
      </c>
      <c r="O25" s="477">
        <f t="shared" si="15"/>
        <v>0</v>
      </c>
      <c r="P25" s="478">
        <f t="shared" si="16"/>
        <v>0</v>
      </c>
      <c r="Q25" s="476">
        <f t="shared" ca="1" si="17"/>
        <v>5394.7162047162838</v>
      </c>
    </row>
    <row r="26" spans="1:17">
      <c r="A26" s="476" t="s">
        <v>635</v>
      </c>
      <c r="B26" s="477">
        <f t="shared" ca="1" si="2"/>
        <v>4497.1084079104075</v>
      </c>
      <c r="C26" s="477">
        <f t="shared" ca="1" si="3"/>
        <v>0</v>
      </c>
      <c r="D26" s="477">
        <f t="shared" si="4"/>
        <v>4988.4372285035352</v>
      </c>
      <c r="E26" s="477">
        <f t="shared" si="5"/>
        <v>127.88615867749546</v>
      </c>
      <c r="F26" s="477">
        <f t="shared" si="6"/>
        <v>756.44328094594857</v>
      </c>
      <c r="G26" s="477">
        <f t="shared" si="7"/>
        <v>0</v>
      </c>
      <c r="H26" s="477">
        <f t="shared" si="8"/>
        <v>0</v>
      </c>
      <c r="I26" s="477">
        <f t="shared" si="9"/>
        <v>0</v>
      </c>
      <c r="J26" s="477">
        <f t="shared" si="10"/>
        <v>4.9634378129007155</v>
      </c>
      <c r="K26" s="477">
        <f t="shared" si="11"/>
        <v>0</v>
      </c>
      <c r="L26" s="477">
        <f t="shared" si="12"/>
        <v>0</v>
      </c>
      <c r="M26" s="477">
        <f t="shared" si="13"/>
        <v>0</v>
      </c>
      <c r="N26" s="477">
        <f t="shared" si="14"/>
        <v>0</v>
      </c>
      <c r="O26" s="477">
        <f t="shared" si="15"/>
        <v>0</v>
      </c>
      <c r="P26" s="478">
        <f t="shared" si="16"/>
        <v>0</v>
      </c>
      <c r="Q26" s="476">
        <f t="shared" ca="1" si="17"/>
        <v>10374.838513850287</v>
      </c>
    </row>
    <row r="27" spans="1:17" s="482" customFormat="1">
      <c r="A27" s="480" t="s">
        <v>561</v>
      </c>
      <c r="B27" s="780">
        <f t="shared" ca="1" si="2"/>
        <v>10.738607524427175</v>
      </c>
      <c r="C27" s="481">
        <f t="shared" ca="1" si="3"/>
        <v>0</v>
      </c>
      <c r="D27" s="481">
        <f t="shared" si="4"/>
        <v>44.680799482034423</v>
      </c>
      <c r="E27" s="481">
        <f t="shared" si="5"/>
        <v>69.753744665429025</v>
      </c>
      <c r="F27" s="481">
        <f t="shared" si="6"/>
        <v>0</v>
      </c>
      <c r="G27" s="481">
        <f t="shared" si="7"/>
        <v>26724.93887795525</v>
      </c>
      <c r="H27" s="481">
        <f t="shared" si="8"/>
        <v>6223.169082793238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33073.28111242038</v>
      </c>
    </row>
    <row r="28" spans="1:17">
      <c r="A28" s="476" t="s">
        <v>551</v>
      </c>
      <c r="B28" s="477">
        <f t="shared" ca="1" si="2"/>
        <v>0</v>
      </c>
      <c r="C28" s="477">
        <f t="shared" ca="1" si="3"/>
        <v>0</v>
      </c>
      <c r="D28" s="477">
        <f t="shared" si="4"/>
        <v>0</v>
      </c>
      <c r="E28" s="477">
        <f t="shared" si="5"/>
        <v>0</v>
      </c>
      <c r="F28" s="477">
        <f t="shared" si="6"/>
        <v>0</v>
      </c>
      <c r="G28" s="477">
        <f t="shared" si="7"/>
        <v>625.02475237678982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625.02475237678982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386.27393957178128</v>
      </c>
      <c r="C32" s="477">
        <f t="shared" ca="1" si="3"/>
        <v>0</v>
      </c>
      <c r="D32" s="477">
        <f t="shared" si="4"/>
        <v>318.87292308554231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705.1468626573236</v>
      </c>
    </row>
    <row r="33" spans="1:17" s="486" customFormat="1">
      <c r="A33" s="1039" t="s">
        <v>555</v>
      </c>
      <c r="B33" s="987">
        <f ca="1">SUM(B22:B32)</f>
        <v>16639.229164962846</v>
      </c>
      <c r="C33" s="987">
        <f t="shared" ref="C33:Q33" ca="1" si="18">SUM(C22:C32)</f>
        <v>0</v>
      </c>
      <c r="D33" s="987">
        <f t="shared" ca="1" si="18"/>
        <v>23034.086433584413</v>
      </c>
      <c r="E33" s="987">
        <f t="shared" si="18"/>
        <v>892.57207124400065</v>
      </c>
      <c r="F33" s="987">
        <f t="shared" ca="1" si="18"/>
        <v>17692.632178559979</v>
      </c>
      <c r="G33" s="987">
        <f t="shared" si="18"/>
        <v>27349.96363033204</v>
      </c>
      <c r="H33" s="987">
        <f t="shared" si="18"/>
        <v>6223.169082793238</v>
      </c>
      <c r="I33" s="987">
        <f t="shared" si="18"/>
        <v>0</v>
      </c>
      <c r="J33" s="987">
        <f t="shared" si="18"/>
        <v>179.41308307121415</v>
      </c>
      <c r="K33" s="987">
        <f t="shared" si="18"/>
        <v>0</v>
      </c>
      <c r="L33" s="987">
        <f t="shared" ca="1" si="18"/>
        <v>0</v>
      </c>
      <c r="M33" s="987">
        <f t="shared" si="18"/>
        <v>0</v>
      </c>
      <c r="N33" s="987">
        <f t="shared" ca="1" si="18"/>
        <v>0</v>
      </c>
      <c r="O33" s="987">
        <f t="shared" si="18"/>
        <v>0</v>
      </c>
      <c r="P33" s="987">
        <f t="shared" si="18"/>
        <v>0</v>
      </c>
      <c r="Q33" s="987">
        <f t="shared" ca="1" si="18"/>
        <v>92011.065644547722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6486.6764637990864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6486.6764637990864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0.2034700082987812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0.2034700082987812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2</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38.133333333333333</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0.2034700082987812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0.2034700082987812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23045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7552</v>
      </c>
      <c r="C9" s="342">
        <v>7742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1958.97</v>
      </c>
    </row>
    <row r="15" spans="1:6">
      <c r="A15" s="348" t="s">
        <v>184</v>
      </c>
      <c r="B15" s="334">
        <v>14</v>
      </c>
    </row>
    <row r="16" spans="1:6">
      <c r="A16" s="348" t="s">
        <v>6</v>
      </c>
      <c r="B16" s="334">
        <v>663</v>
      </c>
    </row>
    <row r="17" spans="1:6">
      <c r="A17" s="348" t="s">
        <v>7</v>
      </c>
      <c r="B17" s="334">
        <v>359</v>
      </c>
    </row>
    <row r="18" spans="1:6">
      <c r="A18" s="348" t="s">
        <v>8</v>
      </c>
      <c r="B18" s="334">
        <v>608</v>
      </c>
    </row>
    <row r="19" spans="1:6">
      <c r="A19" s="348" t="s">
        <v>9</v>
      </c>
      <c r="B19" s="334">
        <v>581</v>
      </c>
    </row>
    <row r="20" spans="1:6">
      <c r="A20" s="348" t="s">
        <v>10</v>
      </c>
      <c r="B20" s="334">
        <v>506</v>
      </c>
    </row>
    <row r="21" spans="1:6">
      <c r="A21" s="348" t="s">
        <v>11</v>
      </c>
      <c r="B21" s="334">
        <v>738</v>
      </c>
    </row>
    <row r="22" spans="1:6">
      <c r="A22" s="348" t="s">
        <v>12</v>
      </c>
      <c r="B22" s="334">
        <v>5972</v>
      </c>
    </row>
    <row r="23" spans="1:6">
      <c r="A23" s="348" t="s">
        <v>13</v>
      </c>
      <c r="B23" s="334">
        <v>56</v>
      </c>
    </row>
    <row r="24" spans="1:6">
      <c r="A24" s="348" t="s">
        <v>14</v>
      </c>
      <c r="B24" s="334">
        <v>1</v>
      </c>
    </row>
    <row r="25" spans="1:6">
      <c r="A25" s="348" t="s">
        <v>15</v>
      </c>
      <c r="B25" s="334">
        <v>227</v>
      </c>
    </row>
    <row r="26" spans="1:6">
      <c r="A26" s="348" t="s">
        <v>16</v>
      </c>
      <c r="B26" s="334">
        <v>463</v>
      </c>
    </row>
    <row r="27" spans="1:6">
      <c r="A27" s="348" t="s">
        <v>17</v>
      </c>
      <c r="B27" s="334">
        <v>4</v>
      </c>
    </row>
    <row r="28" spans="1:6" s="356" customFormat="1">
      <c r="A28" s="355" t="s">
        <v>18</v>
      </c>
      <c r="B28" s="355">
        <v>65</v>
      </c>
    </row>
    <row r="29" spans="1:6">
      <c r="A29" s="355" t="s">
        <v>744</v>
      </c>
      <c r="B29" s="355">
        <v>270</v>
      </c>
      <c r="C29" s="356"/>
      <c r="D29" s="356"/>
      <c r="E29" s="356"/>
      <c r="F29" s="356"/>
    </row>
    <row r="30" spans="1:6">
      <c r="A30" s="341" t="s">
        <v>745</v>
      </c>
      <c r="B30" s="341">
        <v>92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4070</v>
      </c>
      <c r="D39" s="334">
        <v>67052768.488551699</v>
      </c>
      <c r="E39" s="334">
        <v>7360</v>
      </c>
      <c r="F39" s="334">
        <v>29534745.424839515</v>
      </c>
    </row>
    <row r="40" spans="1:6">
      <c r="A40" s="348" t="s">
        <v>30</v>
      </c>
      <c r="B40" s="348" t="s">
        <v>29</v>
      </c>
      <c r="C40" s="334">
        <v>0</v>
      </c>
      <c r="D40" s="334">
        <v>0</v>
      </c>
      <c r="E40" s="334">
        <v>0</v>
      </c>
      <c r="F40" s="334">
        <v>0</v>
      </c>
    </row>
    <row r="41" spans="1:6">
      <c r="A41" s="348" t="s">
        <v>32</v>
      </c>
      <c r="B41" s="348" t="s">
        <v>33</v>
      </c>
      <c r="C41" s="334">
        <v>46</v>
      </c>
      <c r="D41" s="334">
        <v>683499.18090032903</v>
      </c>
      <c r="E41" s="334">
        <v>146</v>
      </c>
      <c r="F41" s="334">
        <v>1037677.50150787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119879.187967518</v>
      </c>
      <c r="E44" s="334">
        <v>22</v>
      </c>
      <c r="F44" s="334">
        <v>889499.16218574101</v>
      </c>
    </row>
    <row r="45" spans="1:6">
      <c r="A45" s="348" t="s">
        <v>32</v>
      </c>
      <c r="B45" s="348" t="s">
        <v>37</v>
      </c>
      <c r="C45" s="334">
        <v>0</v>
      </c>
      <c r="D45" s="334">
        <v>0</v>
      </c>
      <c r="E45" s="334">
        <v>3</v>
      </c>
      <c r="F45" s="334">
        <v>486945.31648297003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32</v>
      </c>
      <c r="D48" s="334">
        <v>25852361.430394199</v>
      </c>
      <c r="E48" s="334">
        <v>43</v>
      </c>
      <c r="F48" s="334">
        <v>3692984.1065791198</v>
      </c>
    </row>
    <row r="49" spans="1:6">
      <c r="A49" s="348" t="s">
        <v>32</v>
      </c>
      <c r="B49" s="348" t="s">
        <v>40</v>
      </c>
      <c r="C49" s="334">
        <v>0</v>
      </c>
      <c r="D49" s="334">
        <v>0</v>
      </c>
      <c r="E49" s="334">
        <v>0</v>
      </c>
      <c r="F49" s="334">
        <v>0</v>
      </c>
    </row>
    <row r="50" spans="1:6">
      <c r="A50" s="348" t="s">
        <v>32</v>
      </c>
      <c r="B50" s="348" t="s">
        <v>41</v>
      </c>
      <c r="C50" s="334">
        <v>7</v>
      </c>
      <c r="D50" s="334">
        <v>722568.18795851502</v>
      </c>
      <c r="E50" s="334">
        <v>29</v>
      </c>
      <c r="F50" s="334">
        <v>15994964.1176487</v>
      </c>
    </row>
    <row r="51" spans="1:6">
      <c r="A51" s="348" t="s">
        <v>42</v>
      </c>
      <c r="B51" s="348" t="s">
        <v>43</v>
      </c>
      <c r="C51" s="334">
        <v>8</v>
      </c>
      <c r="D51" s="334">
        <v>330625.46502325399</v>
      </c>
      <c r="E51" s="334">
        <v>88</v>
      </c>
      <c r="F51" s="334">
        <v>3321924.64447599</v>
      </c>
    </row>
    <row r="52" spans="1:6">
      <c r="A52" s="348" t="s">
        <v>42</v>
      </c>
      <c r="B52" s="348" t="s">
        <v>29</v>
      </c>
      <c r="C52" s="334">
        <v>9</v>
      </c>
      <c r="D52" s="334">
        <v>3635623.53801041</v>
      </c>
      <c r="E52" s="334">
        <v>8</v>
      </c>
      <c r="F52" s="334">
        <v>79054.179374432293</v>
      </c>
    </row>
    <row r="53" spans="1:6">
      <c r="A53" s="348" t="s">
        <v>44</v>
      </c>
      <c r="B53" s="348" t="s">
        <v>45</v>
      </c>
      <c r="C53" s="334">
        <v>91</v>
      </c>
      <c r="D53" s="334">
        <v>1578578.82715615</v>
      </c>
      <c r="E53" s="334">
        <v>265</v>
      </c>
      <c r="F53" s="334">
        <v>1898431.8268890299</v>
      </c>
    </row>
    <row r="54" spans="1:6">
      <c r="A54" s="348" t="s">
        <v>46</v>
      </c>
      <c r="B54" s="348" t="s">
        <v>47</v>
      </c>
      <c r="C54" s="334">
        <v>0</v>
      </c>
      <c r="D54" s="334">
        <v>0</v>
      </c>
      <c r="E54" s="334">
        <v>1</v>
      </c>
      <c r="F54" s="334">
        <v>1304138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53</v>
      </c>
      <c r="D57" s="334">
        <v>6997555.0958093395</v>
      </c>
      <c r="E57" s="334">
        <v>132</v>
      </c>
      <c r="F57" s="334">
        <v>2739236.6373144202</v>
      </c>
    </row>
    <row r="58" spans="1:6">
      <c r="A58" s="348" t="s">
        <v>49</v>
      </c>
      <c r="B58" s="348" t="s">
        <v>51</v>
      </c>
      <c r="C58" s="334">
        <v>21</v>
      </c>
      <c r="D58" s="334">
        <v>646334.25673146197</v>
      </c>
      <c r="E58" s="334">
        <v>38</v>
      </c>
      <c r="F58" s="334">
        <v>818075.67960102903</v>
      </c>
    </row>
    <row r="59" spans="1:6">
      <c r="A59" s="348" t="s">
        <v>49</v>
      </c>
      <c r="B59" s="348" t="s">
        <v>52</v>
      </c>
      <c r="C59" s="334">
        <v>90</v>
      </c>
      <c r="D59" s="334">
        <v>4363233.8863433897</v>
      </c>
      <c r="E59" s="334">
        <v>258</v>
      </c>
      <c r="F59" s="334">
        <v>7187815.9745157603</v>
      </c>
    </row>
    <row r="60" spans="1:6">
      <c r="A60" s="348" t="s">
        <v>49</v>
      </c>
      <c r="B60" s="348" t="s">
        <v>53</v>
      </c>
      <c r="C60" s="334">
        <v>60</v>
      </c>
      <c r="D60" s="334">
        <v>2393477.4155559498</v>
      </c>
      <c r="E60" s="334">
        <v>84</v>
      </c>
      <c r="F60" s="334">
        <v>1877122.01503309</v>
      </c>
    </row>
    <row r="61" spans="1:6">
      <c r="A61" s="348" t="s">
        <v>49</v>
      </c>
      <c r="B61" s="348" t="s">
        <v>54</v>
      </c>
      <c r="C61" s="334">
        <v>88</v>
      </c>
      <c r="D61" s="334">
        <v>3867537.3266666001</v>
      </c>
      <c r="E61" s="334">
        <v>208</v>
      </c>
      <c r="F61" s="334">
        <v>3345884.3365975502</v>
      </c>
    </row>
    <row r="62" spans="1:6">
      <c r="A62" s="348" t="s">
        <v>49</v>
      </c>
      <c r="B62" s="348" t="s">
        <v>55</v>
      </c>
      <c r="C62" s="334">
        <v>5</v>
      </c>
      <c r="D62" s="334">
        <v>629631.970321681</v>
      </c>
      <c r="E62" s="334">
        <v>5</v>
      </c>
      <c r="F62" s="334">
        <v>201303.48602047301</v>
      </c>
    </row>
    <row r="63" spans="1:6">
      <c r="A63" s="348" t="s">
        <v>49</v>
      </c>
      <c r="B63" s="348" t="s">
        <v>29</v>
      </c>
      <c r="C63" s="334">
        <v>93</v>
      </c>
      <c r="D63" s="334">
        <v>7128806.9594872603</v>
      </c>
      <c r="E63" s="334">
        <v>98</v>
      </c>
      <c r="F63" s="334">
        <v>3037451.2296962198</v>
      </c>
    </row>
    <row r="64" spans="1:6">
      <c r="A64" s="348" t="s">
        <v>56</v>
      </c>
      <c r="B64" s="348" t="s">
        <v>57</v>
      </c>
      <c r="C64" s="334">
        <v>0</v>
      </c>
      <c r="D64" s="334">
        <v>0</v>
      </c>
      <c r="E64" s="334">
        <v>0</v>
      </c>
      <c r="F64" s="334">
        <v>0</v>
      </c>
    </row>
    <row r="65" spans="1:6">
      <c r="A65" s="348" t="s">
        <v>56</v>
      </c>
      <c r="B65" s="348" t="s">
        <v>29</v>
      </c>
      <c r="C65" s="334">
        <v>3</v>
      </c>
      <c r="D65" s="334">
        <v>70526.439397538605</v>
      </c>
      <c r="E65" s="334">
        <v>4</v>
      </c>
      <c r="F65" s="334">
        <v>258826.87893018901</v>
      </c>
    </row>
    <row r="66" spans="1:6">
      <c r="A66" s="348" t="s">
        <v>56</v>
      </c>
      <c r="B66" s="348" t="s">
        <v>58</v>
      </c>
      <c r="C66" s="334">
        <v>0</v>
      </c>
      <c r="D66" s="334">
        <v>0</v>
      </c>
      <c r="E66" s="334">
        <v>3</v>
      </c>
      <c r="F66" s="334">
        <v>193941.48256240101</v>
      </c>
    </row>
    <row r="67" spans="1:6">
      <c r="A67" s="355" t="s">
        <v>56</v>
      </c>
      <c r="B67" s="355" t="s">
        <v>59</v>
      </c>
      <c r="C67" s="334">
        <v>0</v>
      </c>
      <c r="D67" s="334">
        <v>0</v>
      </c>
      <c r="E67" s="334">
        <v>0</v>
      </c>
      <c r="F67" s="334">
        <v>0</v>
      </c>
    </row>
    <row r="68" spans="1:6">
      <c r="A68" s="341" t="s">
        <v>56</v>
      </c>
      <c r="B68" s="341" t="s">
        <v>60</v>
      </c>
      <c r="C68" s="334">
        <v>12</v>
      </c>
      <c r="D68" s="334">
        <v>867420.50959762197</v>
      </c>
      <c r="E68" s="334">
        <v>29</v>
      </c>
      <c r="F68" s="334">
        <v>7445601.1923154397</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22367033</v>
      </c>
      <c r="E73" s="475">
        <v>22581144.806068849</v>
      </c>
    </row>
    <row r="74" spans="1:6">
      <c r="A74" s="348" t="s">
        <v>64</v>
      </c>
      <c r="B74" s="348" t="s">
        <v>657</v>
      </c>
      <c r="C74" s="1295" t="s">
        <v>659</v>
      </c>
      <c r="D74" s="475">
        <v>404447.5</v>
      </c>
      <c r="E74" s="475">
        <v>412863.52106486779</v>
      </c>
    </row>
    <row r="75" spans="1:6">
      <c r="A75" s="348" t="s">
        <v>65</v>
      </c>
      <c r="B75" s="348" t="s">
        <v>656</v>
      </c>
      <c r="C75" s="1295" t="s">
        <v>660</v>
      </c>
      <c r="D75" s="475">
        <v>65782248</v>
      </c>
      <c r="E75" s="475">
        <v>66550740.877816729</v>
      </c>
    </row>
    <row r="76" spans="1:6">
      <c r="A76" s="348" t="s">
        <v>65</v>
      </c>
      <c r="B76" s="348" t="s">
        <v>657</v>
      </c>
      <c r="C76" s="1295" t="s">
        <v>661</v>
      </c>
      <c r="D76" s="475">
        <v>2738570.5</v>
      </c>
      <c r="E76" s="475">
        <v>2775028.8207417903</v>
      </c>
    </row>
    <row r="77" spans="1:6">
      <c r="A77" s="348" t="s">
        <v>66</v>
      </c>
      <c r="B77" s="348" t="s">
        <v>656</v>
      </c>
      <c r="C77" s="1295" t="s">
        <v>662</v>
      </c>
      <c r="D77" s="475">
        <v>46006550</v>
      </c>
      <c r="E77" s="475">
        <v>47534857.811022632</v>
      </c>
    </row>
    <row r="78" spans="1:6">
      <c r="A78" s="341" t="s">
        <v>66</v>
      </c>
      <c r="B78" s="341" t="s">
        <v>657</v>
      </c>
      <c r="C78" s="341" t="s">
        <v>663</v>
      </c>
      <c r="D78" s="1296">
        <v>6529414</v>
      </c>
      <c r="E78" s="1296">
        <v>6554562.3642409416</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670955</v>
      </c>
      <c r="C83" s="475">
        <v>671868.41060842585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4277.2751823145963</v>
      </c>
    </row>
    <row r="92" spans="1:6">
      <c r="A92" s="341" t="s">
        <v>69</v>
      </c>
      <c r="B92" s="342">
        <v>2209.40128148449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1612</v>
      </c>
    </row>
    <row r="98" spans="1:6">
      <c r="A98" s="348" t="s">
        <v>72</v>
      </c>
      <c r="B98" s="334">
        <v>5</v>
      </c>
    </row>
    <row r="99" spans="1:6">
      <c r="A99" s="348" t="s">
        <v>73</v>
      </c>
      <c r="B99" s="334">
        <v>61</v>
      </c>
    </row>
    <row r="100" spans="1:6">
      <c r="A100" s="348" t="s">
        <v>74</v>
      </c>
      <c r="B100" s="334">
        <v>656</v>
      </c>
    </row>
    <row r="101" spans="1:6">
      <c r="A101" s="348" t="s">
        <v>75</v>
      </c>
      <c r="B101" s="334">
        <v>65</v>
      </c>
    </row>
    <row r="102" spans="1:6">
      <c r="A102" s="348" t="s">
        <v>76</v>
      </c>
      <c r="B102" s="334">
        <v>94</v>
      </c>
    </row>
    <row r="103" spans="1:6">
      <c r="A103" s="348" t="s">
        <v>77</v>
      </c>
      <c r="B103" s="334">
        <v>151</v>
      </c>
    </row>
    <row r="104" spans="1:6">
      <c r="A104" s="348" t="s">
        <v>78</v>
      </c>
      <c r="B104" s="334">
        <v>3979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2</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61</v>
      </c>
      <c r="C123" s="334">
        <v>39</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135</v>
      </c>
    </row>
    <row r="130" spans="1:6">
      <c r="A130" s="348" t="s">
        <v>295</v>
      </c>
      <c r="B130" s="334">
        <v>1</v>
      </c>
    </row>
    <row r="131" spans="1:6">
      <c r="A131" s="348" t="s">
        <v>296</v>
      </c>
      <c r="B131" s="334">
        <v>4</v>
      </c>
    </row>
    <row r="132" spans="1:6">
      <c r="A132" s="341" t="s">
        <v>297</v>
      </c>
      <c r="B132" s="342">
        <v>61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81777.306169513322</v>
      </c>
      <c r="C3" s="43" t="s">
        <v>170</v>
      </c>
      <c r="D3" s="43"/>
      <c r="E3" s="154"/>
      <c r="F3" s="43"/>
      <c r="G3" s="43"/>
      <c r="H3" s="43"/>
      <c r="I3" s="43"/>
      <c r="J3" s="43"/>
      <c r="K3" s="96"/>
    </row>
    <row r="4" spans="1:11">
      <c r="A4" s="383" t="s">
        <v>171</v>
      </c>
      <c r="B4" s="49">
        <f>IF(ISERROR('SEAP template'!B78+'SEAP template'!C78),0,'SEAP template'!B78+'SEAP template'!C78)</f>
        <v>6486.6764637990864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0.2034700082987812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1304.1379999999999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1304.1379999999999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0.2034700082987812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265.35296968275588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29534.745424839515</v>
      </c>
      <c r="C5" s="17">
        <f>IF(ISERROR('Eigen informatie GS &amp; warmtenet'!B57),0,'Eigen informatie GS &amp; warmtenet'!B57)</f>
        <v>0</v>
      </c>
      <c r="D5" s="30">
        <f>(SUM(HH_hh_gas_kWh,HH_rest_gas_kWh)/1000)*0.902</f>
        <v>60481.597176673633</v>
      </c>
      <c r="E5" s="17">
        <f>B46*B57</f>
        <v>2629.7351360837874</v>
      </c>
      <c r="F5" s="17">
        <f>B51*B62</f>
        <v>45739.424838191138</v>
      </c>
      <c r="G5" s="18"/>
      <c r="H5" s="17"/>
      <c r="I5" s="17"/>
      <c r="J5" s="17">
        <f>B50*B61+C50*C61</f>
        <v>0</v>
      </c>
      <c r="K5" s="17"/>
      <c r="L5" s="17"/>
      <c r="M5" s="17"/>
      <c r="N5" s="17">
        <f>B48*B59+C48*C59</f>
        <v>9549.666360369707</v>
      </c>
      <c r="O5" s="17">
        <f>B69*B70*B71</f>
        <v>275.1466666666667</v>
      </c>
      <c r="P5" s="17">
        <f>B77*B78*B79/1000-B77*B78*B79/1000/B80</f>
        <v>2345.1999999999998</v>
      </c>
    </row>
    <row r="6" spans="1:16">
      <c r="A6" s="16" t="s">
        <v>621</v>
      </c>
      <c r="B6" s="788">
        <f>kWh_PV_kleiner_dan_10kW</f>
        <v>4277.2751823145963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33812.020607154111</v>
      </c>
      <c r="C8" s="21">
        <f>C5</f>
        <v>0</v>
      </c>
      <c r="D8" s="21">
        <f>D5</f>
        <v>60481.597176673633</v>
      </c>
      <c r="E8" s="21">
        <f>E5</f>
        <v>2629.7351360837874</v>
      </c>
      <c r="F8" s="21">
        <f>F5</f>
        <v>45739.424838191138</v>
      </c>
      <c r="G8" s="21"/>
      <c r="H8" s="21"/>
      <c r="I8" s="21"/>
      <c r="J8" s="21">
        <f>J5</f>
        <v>0</v>
      </c>
      <c r="K8" s="21"/>
      <c r="L8" s="21">
        <f>L5</f>
        <v>0</v>
      </c>
      <c r="M8" s="21">
        <f>M5</f>
        <v>0</v>
      </c>
      <c r="N8" s="21">
        <f>N5</f>
        <v>9549.666360369707</v>
      </c>
      <c r="O8" s="21">
        <f>O5</f>
        <v>275.1466666666667</v>
      </c>
      <c r="P8" s="21">
        <f>P5</f>
        <v>2345.1999999999998</v>
      </c>
    </row>
    <row r="9" spans="1:16">
      <c r="B9" s="19"/>
      <c r="C9" s="19"/>
      <c r="D9" s="258"/>
      <c r="E9" s="19"/>
      <c r="F9" s="19"/>
      <c r="G9" s="19"/>
      <c r="H9" s="19"/>
      <c r="I9" s="19"/>
      <c r="J9" s="19"/>
      <c r="K9" s="19"/>
      <c r="L9" s="19"/>
      <c r="M9" s="19"/>
      <c r="N9" s="19"/>
      <c r="O9" s="19"/>
      <c r="P9" s="19"/>
    </row>
    <row r="10" spans="1:16">
      <c r="A10" s="24" t="s">
        <v>214</v>
      </c>
      <c r="B10" s="25">
        <f ca="1">'EF ele_warmte'!B12</f>
        <v>0.2034700082987812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6879.7321135362081</v>
      </c>
      <c r="C12" s="23">
        <f ca="1">C10*C8</f>
        <v>0</v>
      </c>
      <c r="D12" s="23">
        <f>D8*D10</f>
        <v>12217.282629688074</v>
      </c>
      <c r="E12" s="23">
        <f>E10*E8</f>
        <v>596.94987589101981</v>
      </c>
      <c r="F12" s="23">
        <f>F10*F8</f>
        <v>12212.426431797036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1612</v>
      </c>
      <c r="C18" s="166" t="s">
        <v>111</v>
      </c>
      <c r="D18" s="228"/>
      <c r="E18" s="15"/>
    </row>
    <row r="19" spans="1:7">
      <c r="A19" s="171" t="s">
        <v>72</v>
      </c>
      <c r="B19" s="37">
        <f>aantalw2001_ander</f>
        <v>5</v>
      </c>
      <c r="C19" s="166" t="s">
        <v>111</v>
      </c>
      <c r="D19" s="229"/>
      <c r="E19" s="15"/>
    </row>
    <row r="20" spans="1:7">
      <c r="A20" s="171" t="s">
        <v>73</v>
      </c>
      <c r="B20" s="37">
        <f>aantalw2001_propaan</f>
        <v>61</v>
      </c>
      <c r="C20" s="167">
        <f>IF(ISERROR(B20/SUM($B$20,$B$21,$B$22)*100),0,B20/SUM($B$20,$B$21,$B$22)*100)</f>
        <v>7.8005115089514065</v>
      </c>
      <c r="D20" s="229"/>
      <c r="E20" s="15"/>
    </row>
    <row r="21" spans="1:7">
      <c r="A21" s="171" t="s">
        <v>74</v>
      </c>
      <c r="B21" s="37">
        <f>aantalw2001_elektriciteit</f>
        <v>656</v>
      </c>
      <c r="C21" s="167">
        <f>IF(ISERROR(B21/SUM($B$20,$B$21,$B$22)*100),0,B21/SUM($B$20,$B$21,$B$22)*100)</f>
        <v>83.887468030690542</v>
      </c>
      <c r="D21" s="229"/>
      <c r="E21" s="15"/>
    </row>
    <row r="22" spans="1:7">
      <c r="A22" s="171" t="s">
        <v>75</v>
      </c>
      <c r="B22" s="37">
        <f>aantalw2001_hout</f>
        <v>65</v>
      </c>
      <c r="C22" s="167">
        <f>IF(ISERROR(B22/SUM($B$20,$B$21,$B$22)*100),0,B22/SUM($B$20,$B$21,$B$22)*100)</f>
        <v>8.3120204603580561</v>
      </c>
      <c r="D22" s="229"/>
      <c r="E22" s="15"/>
    </row>
    <row r="23" spans="1:7">
      <c r="A23" s="171" t="s">
        <v>76</v>
      </c>
      <c r="B23" s="37">
        <f>aantalw2001_niet_gespec</f>
        <v>94</v>
      </c>
      <c r="C23" s="166" t="s">
        <v>111</v>
      </c>
      <c r="D23" s="228"/>
      <c r="E23" s="15"/>
    </row>
    <row r="24" spans="1:7">
      <c r="A24" s="171" t="s">
        <v>77</v>
      </c>
      <c r="B24" s="37">
        <f>aantalw2001_steenkool</f>
        <v>151</v>
      </c>
      <c r="C24" s="166" t="s">
        <v>111</v>
      </c>
      <c r="D24" s="229"/>
      <c r="E24" s="15"/>
    </row>
    <row r="25" spans="1:7">
      <c r="A25" s="171" t="s">
        <v>78</v>
      </c>
      <c r="B25" s="37">
        <f>aantalw2001_stookolie</f>
        <v>3979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7552</v>
      </c>
      <c r="C28" s="36"/>
      <c r="D28" s="228"/>
    </row>
    <row r="29" spans="1:7" s="15" customFormat="1">
      <c r="A29" s="230" t="s">
        <v>794</v>
      </c>
      <c r="B29" s="37">
        <f>SUM(HH_hh_gas_aantal,HH_rest_gas_aantal)</f>
        <v>4070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4070</v>
      </c>
      <c r="C32" s="167">
        <f>IF(ISERROR(B32/SUM($B$32,$B$34,$B$35,$B$36,$B$38,$B$39)*100),0,B32/SUM($B$32,$B$34,$B$35,$B$36,$B$38,$B$39)*100)</f>
        <v>54.785300848027994</v>
      </c>
      <c r="D32" s="233"/>
      <c r="G32" s="15"/>
    </row>
    <row r="33" spans="1:7">
      <c r="A33" s="171" t="s">
        <v>72</v>
      </c>
      <c r="B33" s="34" t="s">
        <v>111</v>
      </c>
      <c r="C33" s="167"/>
      <c r="D33" s="233"/>
      <c r="G33" s="15"/>
    </row>
    <row r="34" spans="1:7">
      <c r="A34" s="171" t="s">
        <v>73</v>
      </c>
      <c r="B34" s="33">
        <f>IF((($B$28-$B$32-$B$39-$B$77-$B$38)*C20/100)&lt;0,0,($B$28-$B$32-$B$39-$B$77-$B$38)*C20/100)</f>
        <v>124.19974424552433</v>
      </c>
      <c r="C34" s="167">
        <f>IF(ISERROR(B34/SUM($B$32,$B$34,$B$35,$B$36,$B$38,$B$39)*100),0,B34/SUM($B$32,$B$34,$B$35,$B$36,$B$38,$B$39)*100)</f>
        <v>1.6718231827369003</v>
      </c>
      <c r="D34" s="233"/>
      <c r="G34" s="15"/>
    </row>
    <row r="35" spans="1:7">
      <c r="A35" s="171" t="s">
        <v>74</v>
      </c>
      <c r="B35" s="33">
        <f>IF((($B$28-$B$32-$B$39-$B$77-$B$38)*C21/100)&lt;0,0,($B$28-$B$32-$B$39-$B$77-$B$38)*C21/100)</f>
        <v>1335.656265984655</v>
      </c>
      <c r="C35" s="167">
        <f>IF(ISERROR(B35/SUM($B$32,$B$34,$B$35,$B$36,$B$38,$B$39)*100),0,B35/SUM($B$32,$B$34,$B$35,$B$36,$B$38,$B$39)*100)</f>
        <v>17.978950948777157</v>
      </c>
      <c r="D35" s="233"/>
      <c r="G35" s="15"/>
    </row>
    <row r="36" spans="1:7">
      <c r="A36" s="171" t="s">
        <v>75</v>
      </c>
      <c r="B36" s="33">
        <f>IF((($B$28-$B$32-$B$39-$B$77-$B$38)*C22/100)&lt;0,0,($B$28-$B$32-$B$39-$B$77-$B$38)*C22/100)</f>
        <v>132.34398976982101</v>
      </c>
      <c r="C36" s="167">
        <f>IF(ISERROR(B36/SUM($B$32,$B$34,$B$35,$B$36,$B$38,$B$39)*100),0,B36/SUM($B$32,$B$34,$B$35,$B$36,$B$38,$B$39)*100)</f>
        <v>1.781450932424566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1766.7999999999997</v>
      </c>
      <c r="C39" s="167">
        <f>IF(ISERROR(B39/SUM($B$32,$B$34,$B$35,$B$36,$B$38,$B$39)*100),0,B39/SUM($B$32,$B$34,$B$35,$B$36,$B$38,$B$39)*100)</f>
        <v>23.782474088033378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4070</v>
      </c>
      <c r="C44" s="34" t="s">
        <v>111</v>
      </c>
      <c r="D44" s="174"/>
    </row>
    <row r="45" spans="1:7">
      <c r="A45" s="171" t="s">
        <v>72</v>
      </c>
      <c r="B45" s="33" t="str">
        <f t="shared" si="0"/>
        <v>-</v>
      </c>
      <c r="C45" s="34" t="s">
        <v>111</v>
      </c>
      <c r="D45" s="174"/>
    </row>
    <row r="46" spans="1:7">
      <c r="A46" s="171" t="s">
        <v>73</v>
      </c>
      <c r="B46" s="33">
        <f t="shared" si="0"/>
        <v>124.19974424552433</v>
      </c>
      <c r="C46" s="34" t="s">
        <v>111</v>
      </c>
      <c r="D46" s="174"/>
    </row>
    <row r="47" spans="1:7">
      <c r="A47" s="171" t="s">
        <v>74</v>
      </c>
      <c r="B47" s="33">
        <f t="shared" si="0"/>
        <v>1335.656265984655</v>
      </c>
      <c r="C47" s="34" t="s">
        <v>111</v>
      </c>
      <c r="D47" s="174"/>
    </row>
    <row r="48" spans="1:7">
      <c r="A48" s="171" t="s">
        <v>75</v>
      </c>
      <c r="B48" s="33">
        <f t="shared" si="0"/>
        <v>132.34398976982101</v>
      </c>
      <c r="C48" s="33">
        <f>B48*10</f>
        <v>1323.4398976982102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1766.7999999999997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19206.889358778542</v>
      </c>
      <c r="C5" s="17">
        <f>IF(ISERROR('Eigen informatie GS &amp; warmtenet'!B58),0,'Eigen informatie GS &amp; warmtenet'!B58)</f>
        <v>0</v>
      </c>
      <c r="D5" s="30">
        <f>SUM(D6:D12)</f>
        <v>23475.972373645945</v>
      </c>
      <c r="E5" s="17">
        <f>SUM(E6:E12)</f>
        <v>331.67489748647091</v>
      </c>
      <c r="F5" s="17">
        <f>SUM(F6:F12)</f>
        <v>3523.7002530848745</v>
      </c>
      <c r="G5" s="18"/>
      <c r="H5" s="17"/>
      <c r="I5" s="17"/>
      <c r="J5" s="17">
        <f>SUM(J6:J12)</f>
        <v>6.6813354692363935E-2</v>
      </c>
      <c r="K5" s="17"/>
      <c r="L5" s="17"/>
      <c r="M5" s="17"/>
      <c r="N5" s="17">
        <f>SUM(N6:N12)</f>
        <v>2647.1279244329548</v>
      </c>
      <c r="O5" s="17">
        <f>B38*B39*B40</f>
        <v>1.5633333333333335</v>
      </c>
      <c r="P5" s="17">
        <f>B46*B47*B48/1000-B46*B47*B48/1000/B49</f>
        <v>76.266666666666666</v>
      </c>
      <c r="R5" s="32"/>
    </row>
    <row r="6" spans="1:18">
      <c r="A6" s="32" t="s">
        <v>54</v>
      </c>
      <c r="B6" s="37">
        <f>B26</f>
        <v>3345.8843365975504</v>
      </c>
      <c r="C6" s="33"/>
      <c r="D6" s="37">
        <f>IF(ISERROR(TER_kantoor_gas_kWh/1000),0,TER_kantoor_gas_kWh/1000)*0.902</f>
        <v>3488.5186686532734</v>
      </c>
      <c r="E6" s="33">
        <f>$C$26*'E Balans VL '!I12/100/3.6*1000000</f>
        <v>2.0970890198097048E-2</v>
      </c>
      <c r="F6" s="33">
        <f>$C$26*('E Balans VL '!L12+'E Balans VL '!N12)/100/3.6*1000000</f>
        <v>502.79292286547519</v>
      </c>
      <c r="G6" s="34"/>
      <c r="H6" s="33"/>
      <c r="I6" s="33"/>
      <c r="J6" s="33">
        <f>$C$26*('E Balans VL '!D12+'E Balans VL '!E12)/100/3.6*1000000</f>
        <v>0</v>
      </c>
      <c r="K6" s="33"/>
      <c r="L6" s="33"/>
      <c r="M6" s="33"/>
      <c r="N6" s="33">
        <f>$C$26*'E Balans VL '!Y12/100/3.6*1000000</f>
        <v>3.1998422861605733</v>
      </c>
      <c r="O6" s="33"/>
      <c r="P6" s="33"/>
      <c r="R6" s="32"/>
    </row>
    <row r="7" spans="1:18">
      <c r="A7" s="32" t="s">
        <v>53</v>
      </c>
      <c r="B7" s="37">
        <f t="shared" ref="B7:B12" si="0">B27</f>
        <v>1877.1220150330901</v>
      </c>
      <c r="C7" s="33"/>
      <c r="D7" s="37">
        <f>IF(ISERROR(TER_horeca_gas_kWh/1000),0,TER_horeca_gas_kWh/1000)*0.902</f>
        <v>2158.9166288314668</v>
      </c>
      <c r="E7" s="33">
        <f>$C$27*'E Balans VL '!I9/100/3.6*1000000</f>
        <v>26.880074586434034</v>
      </c>
      <c r="F7" s="33">
        <f>$C$27*('E Balans VL '!L9+'E Balans VL '!N9)/100/3.6*1000000</f>
        <v>237.70555697237623</v>
      </c>
      <c r="G7" s="34"/>
      <c r="H7" s="33"/>
      <c r="I7" s="33"/>
      <c r="J7" s="33">
        <f>$C$27*('E Balans VL '!D9+'E Balans VL '!E9)/100/3.6*1000000</f>
        <v>0</v>
      </c>
      <c r="K7" s="33"/>
      <c r="L7" s="33"/>
      <c r="M7" s="33"/>
      <c r="N7" s="33">
        <f>$C$27*'E Balans VL '!Y9/100/3.6*1000000</f>
        <v>0.53963119233422707</v>
      </c>
      <c r="O7" s="33"/>
      <c r="P7" s="33"/>
      <c r="R7" s="32"/>
    </row>
    <row r="8" spans="1:18">
      <c r="A8" s="6" t="s">
        <v>52</v>
      </c>
      <c r="B8" s="37">
        <f t="shared" si="0"/>
        <v>7187.81597451576</v>
      </c>
      <c r="C8" s="33"/>
      <c r="D8" s="37">
        <f>IF(ISERROR(TER_handel_gas_kWh/1000),0,TER_handel_gas_kWh/1000)*0.902</f>
        <v>3935.6369654817377</v>
      </c>
      <c r="E8" s="33">
        <f>$C$28*'E Balans VL '!I13/100/3.6*1000000</f>
        <v>260.70119903393106</v>
      </c>
      <c r="F8" s="33">
        <f>$C$28*('E Balans VL '!L13+'E Balans VL '!N13)/100/3.6*1000000</f>
        <v>1384.4461379557658</v>
      </c>
      <c r="G8" s="34"/>
      <c r="H8" s="33"/>
      <c r="I8" s="33"/>
      <c r="J8" s="33">
        <f>$C$28*('E Balans VL '!D13+'E Balans VL '!E13)/100/3.6*1000000</f>
        <v>0</v>
      </c>
      <c r="K8" s="33"/>
      <c r="L8" s="33"/>
      <c r="M8" s="33"/>
      <c r="N8" s="33">
        <f>$C$28*'E Balans VL '!Y13/100/3.6*1000000</f>
        <v>9.95677896740089</v>
      </c>
      <c r="O8" s="33"/>
      <c r="P8" s="33"/>
      <c r="R8" s="32"/>
    </row>
    <row r="9" spans="1:18">
      <c r="A9" s="32" t="s">
        <v>51</v>
      </c>
      <c r="B9" s="37">
        <f t="shared" si="0"/>
        <v>818.07567960102904</v>
      </c>
      <c r="C9" s="33"/>
      <c r="D9" s="37">
        <f>IF(ISERROR(TER_gezond_gas_kWh/1000),0,TER_gezond_gas_kWh/1000)*0.902</f>
        <v>582.99349957177878</v>
      </c>
      <c r="E9" s="33">
        <f>$C$29*'E Balans VL '!I10/100/3.6*1000000</f>
        <v>5.1219614581159173E-2</v>
      </c>
      <c r="F9" s="33">
        <f>$C$29*('E Balans VL '!L10+'E Balans VL '!N10)/100/3.6*1000000</f>
        <v>121.52763300796569</v>
      </c>
      <c r="G9" s="34"/>
      <c r="H9" s="33"/>
      <c r="I9" s="33"/>
      <c r="J9" s="33">
        <f>$C$29*('E Balans VL '!D10+'E Balans VL '!E10)/100/3.6*1000000</f>
        <v>0</v>
      </c>
      <c r="K9" s="33"/>
      <c r="L9" s="33"/>
      <c r="M9" s="33"/>
      <c r="N9" s="33">
        <f>$C$29*'E Balans VL '!Y10/100/3.6*1000000</f>
        <v>12.654073549624202</v>
      </c>
      <c r="O9" s="33"/>
      <c r="P9" s="33"/>
      <c r="R9" s="32"/>
    </row>
    <row r="10" spans="1:18">
      <c r="A10" s="32" t="s">
        <v>50</v>
      </c>
      <c r="B10" s="37">
        <f t="shared" si="0"/>
        <v>2739.23663731442</v>
      </c>
      <c r="C10" s="33"/>
      <c r="D10" s="37">
        <f>IF(ISERROR(TER_ander_gas_kWh/1000),0,TER_ander_gas_kWh/1000)*0.902</f>
        <v>6311.7946964200246</v>
      </c>
      <c r="E10" s="33">
        <f>$C$30*'E Balans VL '!I14/100/3.6*1000000</f>
        <v>3.2650721879008229</v>
      </c>
      <c r="F10" s="33">
        <f>$C$30*('E Balans VL '!L14+'E Balans VL '!N14)/100/3.6*1000000</f>
        <v>716.70608121760711</v>
      </c>
      <c r="G10" s="34"/>
      <c r="H10" s="33"/>
      <c r="I10" s="33"/>
      <c r="J10" s="33">
        <f>$C$30*('E Balans VL '!D14+'E Balans VL '!E14)/100/3.6*1000000</f>
        <v>5.9458089884961499E-2</v>
      </c>
      <c r="K10" s="33"/>
      <c r="L10" s="33"/>
      <c r="M10" s="33"/>
      <c r="N10" s="33">
        <f>$C$30*'E Balans VL '!Y14/100/3.6*1000000</f>
        <v>2326.0927242303792</v>
      </c>
      <c r="O10" s="33"/>
      <c r="P10" s="33"/>
      <c r="R10" s="32"/>
    </row>
    <row r="11" spans="1:18">
      <c r="A11" s="32" t="s">
        <v>55</v>
      </c>
      <c r="B11" s="37">
        <f t="shared" si="0"/>
        <v>201.303486020473</v>
      </c>
      <c r="C11" s="33"/>
      <c r="D11" s="37">
        <f>IF(ISERROR(TER_onderwijs_gas_kWh/1000),0,TER_onderwijs_gas_kWh/1000)*0.902</f>
        <v>567.92803723015629</v>
      </c>
      <c r="E11" s="33">
        <f>$C$31*'E Balans VL '!I11/100/3.6*1000000</f>
        <v>3.037345373953761</v>
      </c>
      <c r="F11" s="33">
        <f>$C$31*('E Balans VL '!L11+'E Balans VL '!N11)/100/3.6*1000000</f>
        <v>35.271586669648563</v>
      </c>
      <c r="G11" s="34"/>
      <c r="H11" s="33"/>
      <c r="I11" s="33"/>
      <c r="J11" s="33">
        <f>$C$31*('E Balans VL '!D11+'E Balans VL '!E11)/100/3.6*1000000</f>
        <v>0</v>
      </c>
      <c r="K11" s="33"/>
      <c r="L11" s="33"/>
      <c r="M11" s="33"/>
      <c r="N11" s="33">
        <f>$C$31*'E Balans VL '!Y11/100/3.6*1000000</f>
        <v>0.56648331333541091</v>
      </c>
      <c r="O11" s="33"/>
      <c r="P11" s="33"/>
      <c r="R11" s="32"/>
    </row>
    <row r="12" spans="1:18">
      <c r="A12" s="32" t="s">
        <v>260</v>
      </c>
      <c r="B12" s="37">
        <f t="shared" si="0"/>
        <v>3037.4512296962198</v>
      </c>
      <c r="C12" s="33"/>
      <c r="D12" s="37">
        <f>IF(ISERROR(TER_rest_gas_kWh/1000),0,TER_rest_gas_kWh/1000)*0.902</f>
        <v>6430.183877457509</v>
      </c>
      <c r="E12" s="33">
        <f>$C$32*'E Balans VL '!I8/100/3.6*1000000</f>
        <v>37.719015799471933</v>
      </c>
      <c r="F12" s="33">
        <f>$C$32*('E Balans VL '!L8+'E Balans VL '!N8)/100/3.6*1000000</f>
        <v>525.25033439603624</v>
      </c>
      <c r="G12" s="34"/>
      <c r="H12" s="33"/>
      <c r="I12" s="33"/>
      <c r="J12" s="33">
        <f>$C$32*('E Balans VL '!D8+'E Balans VL '!E8)/100/3.6*1000000</f>
        <v>7.3552648074024325E-3</v>
      </c>
      <c r="K12" s="33"/>
      <c r="L12" s="33"/>
      <c r="M12" s="33"/>
      <c r="N12" s="33">
        <f>$C$32*'E Balans VL '!Y8/100/3.6*1000000</f>
        <v>294.11839089372006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19206.889358778542</v>
      </c>
      <c r="C16" s="21">
        <f t="shared" ca="1" si="1"/>
        <v>0</v>
      </c>
      <c r="D16" s="21">
        <f t="shared" ca="1" si="1"/>
        <v>23475.972373645945</v>
      </c>
      <c r="E16" s="21">
        <f t="shared" si="1"/>
        <v>331.67489748647091</v>
      </c>
      <c r="F16" s="21">
        <f t="shared" ca="1" si="1"/>
        <v>3523.7002530848745</v>
      </c>
      <c r="G16" s="21">
        <f t="shared" si="1"/>
        <v>0</v>
      </c>
      <c r="H16" s="21">
        <f t="shared" si="1"/>
        <v>0</v>
      </c>
      <c r="I16" s="21">
        <f t="shared" si="1"/>
        <v>0</v>
      </c>
      <c r="J16" s="21">
        <f t="shared" si="1"/>
        <v>6.6813354692363935E-2</v>
      </c>
      <c r="K16" s="21">
        <f t="shared" si="1"/>
        <v>0</v>
      </c>
      <c r="L16" s="21">
        <f t="shared" ca="1" si="1"/>
        <v>0</v>
      </c>
      <c r="M16" s="21">
        <f t="shared" si="1"/>
        <v>0</v>
      </c>
      <c r="N16" s="21">
        <f t="shared" ca="1" si="1"/>
        <v>2647.1279244329548</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0.2034700082987812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3908.0259372244423</v>
      </c>
      <c r="C20" s="23">
        <f t="shared" ref="C20:P20" ca="1" si="2">C16*C18</f>
        <v>0</v>
      </c>
      <c r="D20" s="23">
        <f t="shared" ca="1" si="2"/>
        <v>4742.1464194764812</v>
      </c>
      <c r="E20" s="23">
        <f t="shared" si="2"/>
        <v>75.290201729428901</v>
      </c>
      <c r="F20" s="23">
        <f t="shared" ca="1" si="2"/>
        <v>940.82796757366157</v>
      </c>
      <c r="G20" s="23">
        <f t="shared" si="2"/>
        <v>0</v>
      </c>
      <c r="H20" s="23">
        <f t="shared" si="2"/>
        <v>0</v>
      </c>
      <c r="I20" s="23">
        <f t="shared" si="2"/>
        <v>0</v>
      </c>
      <c r="J20" s="23">
        <f t="shared" si="2"/>
        <v>2.3651927561096832E-2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3345.8843365975504</v>
      </c>
      <c r="C26" s="39">
        <f>IF(ISERROR(B26*3.6/1000000/'E Balans VL '!Z12*100),0,B26*3.6/1000000/'E Balans VL '!Z12*100)</f>
        <v>7.0726694566750223E-2</v>
      </c>
      <c r="D26" s="237" t="s">
        <v>754</v>
      </c>
      <c r="F26" s="6"/>
    </row>
    <row r="27" spans="1:18">
      <c r="A27" s="231" t="s">
        <v>53</v>
      </c>
      <c r="B27" s="33">
        <f>IF(ISERROR(TER_horeca_ele_kWh/1000),0,TER_horeca_ele_kWh/1000)</f>
        <v>1877.1220150330901</v>
      </c>
      <c r="C27" s="39">
        <f>IF(ISERROR(B27*3.6/1000000/'E Balans VL '!Z9*100),0,B27*3.6/1000000/'E Balans VL '!Z9*100)</f>
        <v>0.14797282880596563</v>
      </c>
      <c r="D27" s="237" t="s">
        <v>754</v>
      </c>
      <c r="F27" s="6"/>
    </row>
    <row r="28" spans="1:18">
      <c r="A28" s="171" t="s">
        <v>52</v>
      </c>
      <c r="B28" s="33">
        <f>IF(ISERROR(TER_handel_ele_kWh/1000),0,TER_handel_ele_kWh/1000)</f>
        <v>7187.81597451576</v>
      </c>
      <c r="C28" s="39">
        <f>IF(ISERROR(B28*3.6/1000000/'E Balans VL '!Z13*100),0,B28*3.6/1000000/'E Balans VL '!Z13*100)</f>
        <v>0.20861946161132125</v>
      </c>
      <c r="D28" s="237" t="s">
        <v>754</v>
      </c>
      <c r="F28" s="6"/>
    </row>
    <row r="29" spans="1:18">
      <c r="A29" s="231" t="s">
        <v>51</v>
      </c>
      <c r="B29" s="33">
        <f>IF(ISERROR(TER_gezond_ele_kWh/1000),0,TER_gezond_ele_kWh/1000)</f>
        <v>818.07567960102904</v>
      </c>
      <c r="C29" s="39">
        <f>IF(ISERROR(B29*3.6/1000000/'E Balans VL '!Z10*100),0,B29*3.6/1000000/'E Balans VL '!Z10*100)</f>
        <v>8.6156802219230832E-2</v>
      </c>
      <c r="D29" s="237" t="s">
        <v>754</v>
      </c>
      <c r="F29" s="6"/>
    </row>
    <row r="30" spans="1:18">
      <c r="A30" s="231" t="s">
        <v>50</v>
      </c>
      <c r="B30" s="33">
        <f>IF(ISERROR(TER_ander_ele_kWh/1000),0,TER_ander_ele_kWh/1000)</f>
        <v>2739.23663731442</v>
      </c>
      <c r="C30" s="39">
        <f>IF(ISERROR(B30*3.6/1000000/'E Balans VL '!Z14*100),0,B30*3.6/1000000/'E Balans VL '!Z14*100)</f>
        <v>0.20204668932754968</v>
      </c>
      <c r="D30" s="237" t="s">
        <v>754</v>
      </c>
      <c r="F30" s="6"/>
    </row>
    <row r="31" spans="1:18">
      <c r="A31" s="231" t="s">
        <v>55</v>
      </c>
      <c r="B31" s="33">
        <f>IF(ISERROR(TER_onderwijs_ele_kWh/1000),0,TER_onderwijs_ele_kWh/1000)</f>
        <v>201.303486020473</v>
      </c>
      <c r="C31" s="39">
        <f>IF(ISERROR(B31*3.6/1000000/'E Balans VL '!Z11*100),0,B31*3.6/1000000/'E Balans VL '!Z11*100)</f>
        <v>4.9993085189497841E-2</v>
      </c>
      <c r="D31" s="237" t="s">
        <v>754</v>
      </c>
    </row>
    <row r="32" spans="1:18">
      <c r="A32" s="231" t="s">
        <v>260</v>
      </c>
      <c r="B32" s="33">
        <f>IF(ISERROR(TER_rest_ele_kWh/1000),0,TER_rest_ele_kWh/1000)</f>
        <v>3037.4512296962198</v>
      </c>
      <c r="C32" s="39">
        <f>IF(ISERROR(B32*3.6/1000000/'E Balans VL '!Z8*100),0,B32*3.6/1000000/'E Balans VL '!Z8*100)</f>
        <v>2.4994191813736251E-2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22102.070204404397</v>
      </c>
      <c r="C5" s="17">
        <f>IF(ISERROR('Eigen informatie GS &amp; warmtenet'!B59),0,'Eigen informatie GS &amp; warmtenet'!B59)</f>
        <v>0</v>
      </c>
      <c r="D5" s="30">
        <f>SUM(D6:D15)</f>
        <v>24695.233804472944</v>
      </c>
      <c r="E5" s="17">
        <f>SUM(E6:E15)</f>
        <v>563.37514835901084</v>
      </c>
      <c r="F5" s="17">
        <f>SUM(F6:F15)</f>
        <v>2833.1209024192831</v>
      </c>
      <c r="G5" s="18"/>
      <c r="H5" s="17"/>
      <c r="I5" s="17"/>
      <c r="J5" s="17">
        <f>SUM(J6:J15)</f>
        <v>14.021010770905976</v>
      </c>
      <c r="K5" s="17"/>
      <c r="L5" s="17"/>
      <c r="M5" s="17"/>
      <c r="N5" s="17">
        <f>SUM(N6:N15)</f>
        <v>2394.3599157893896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889.49916218574106</v>
      </c>
      <c r="C8" s="33"/>
      <c r="D8" s="37">
        <f>IF( ISERROR(IND_metaal_Gas_kWH/1000),0,IND_metaal_Gas_kWH/1000)*0.902</f>
        <v>108.13102754670123</v>
      </c>
      <c r="E8" s="33">
        <f>C30*'E Balans VL '!I18/100/3.6*1000000</f>
        <v>8.1780857098371129</v>
      </c>
      <c r="F8" s="33">
        <f>C30*'E Balans VL '!L18/100/3.6*1000000+C30*'E Balans VL '!N18/100/3.6*1000000</f>
        <v>83.405406988205485</v>
      </c>
      <c r="G8" s="34"/>
      <c r="H8" s="33"/>
      <c r="I8" s="33"/>
      <c r="J8" s="40">
        <f>C30*'E Balans VL '!D18/100/3.6*1000000+C30*'E Balans VL '!E18/100/3.6*1000000</f>
        <v>0</v>
      </c>
      <c r="K8" s="33"/>
      <c r="L8" s="33"/>
      <c r="M8" s="33"/>
      <c r="N8" s="33">
        <f>C30*'E Balans VL '!Y18/100/3.6*1000000</f>
        <v>12.690175507846631</v>
      </c>
      <c r="O8" s="33"/>
      <c r="P8" s="33"/>
      <c r="R8" s="32"/>
    </row>
    <row r="9" spans="1:18">
      <c r="A9" s="6" t="s">
        <v>33</v>
      </c>
      <c r="B9" s="37">
        <f t="shared" si="0"/>
        <v>1037.6775015078701</v>
      </c>
      <c r="C9" s="33"/>
      <c r="D9" s="37">
        <f>IF( ISERROR(IND_andere_gas_kWh/1000),0,IND_andere_gas_kWh/1000)*0.902</f>
        <v>616.51626117209685</v>
      </c>
      <c r="E9" s="33">
        <f>C31*'E Balans VL '!I19/100/3.6*1000000</f>
        <v>303.33333488898722</v>
      </c>
      <c r="F9" s="33">
        <f>C31*'E Balans VL '!L19/100/3.6*1000000+C31*'E Balans VL '!N19/100/3.6*1000000</f>
        <v>833.85241743126085</v>
      </c>
      <c r="G9" s="34"/>
      <c r="H9" s="33"/>
      <c r="I9" s="33"/>
      <c r="J9" s="40">
        <f>C31*'E Balans VL '!D19/100/3.6*1000000+C31*'E Balans VL '!E19/100/3.6*1000000</f>
        <v>0</v>
      </c>
      <c r="K9" s="33"/>
      <c r="L9" s="33"/>
      <c r="M9" s="33"/>
      <c r="N9" s="33">
        <f>C31*'E Balans VL '!Y19/100/3.6*1000000</f>
        <v>342.86473973523715</v>
      </c>
      <c r="O9" s="33"/>
      <c r="P9" s="33"/>
      <c r="R9" s="32"/>
    </row>
    <row r="10" spans="1:18">
      <c r="A10" s="6" t="s">
        <v>41</v>
      </c>
      <c r="B10" s="37">
        <f t="shared" si="0"/>
        <v>15994.9641176487</v>
      </c>
      <c r="C10" s="33"/>
      <c r="D10" s="37">
        <f>IF( ISERROR(IND_voed_gas_kWh/1000),0,IND_voed_gas_kWh/1000)*0.902</f>
        <v>651.75650553858065</v>
      </c>
      <c r="E10" s="33">
        <f>C32*'E Balans VL '!I20/100/3.6*1000000</f>
        <v>33.837594595741805</v>
      </c>
      <c r="F10" s="33">
        <f>C32*'E Balans VL '!L20/100/3.6*1000000+C32*'E Balans VL '!N20/100/3.6*1000000</f>
        <v>1016.9761569768351</v>
      </c>
      <c r="G10" s="34"/>
      <c r="H10" s="33"/>
      <c r="I10" s="33"/>
      <c r="J10" s="40">
        <f>C32*'E Balans VL '!D20/100/3.6*1000000+C32*'E Balans VL '!E20/100/3.6*1000000</f>
        <v>0</v>
      </c>
      <c r="K10" s="33"/>
      <c r="L10" s="33"/>
      <c r="M10" s="33"/>
      <c r="N10" s="33">
        <f>C32*'E Balans VL '!Y20/100/3.6*1000000</f>
        <v>1103.8103662804804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486.94531648297004</v>
      </c>
      <c r="C12" s="33"/>
      <c r="D12" s="37">
        <f>IF( ISERROR(IND_min_gas_kWh/1000),0,IND_min_gas_kWh/1000)*0.902</f>
        <v>0</v>
      </c>
      <c r="E12" s="33">
        <f>C34*'E Balans VL '!I22/100/3.6*1000000</f>
        <v>14.114539647577844</v>
      </c>
      <c r="F12" s="33">
        <f>C34*'E Balans VL '!L22/100/3.6*1000000+C34*'E Balans VL '!N22/100/3.6*1000000</f>
        <v>167.41730241155841</v>
      </c>
      <c r="G12" s="34"/>
      <c r="H12" s="33"/>
      <c r="I12" s="33"/>
      <c r="J12" s="40">
        <f>C34*'E Balans VL '!D22/100/3.6*1000000+C34*'E Balans VL '!E22/100/3.6*1000000</f>
        <v>0.80019789376384021</v>
      </c>
      <c r="K12" s="33"/>
      <c r="L12" s="33"/>
      <c r="M12" s="33"/>
      <c r="N12" s="33">
        <f>C34*'E Balans VL '!Y22/100/3.6*1000000</f>
        <v>106.60033189234757</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3692.9841065791197</v>
      </c>
      <c r="C15" s="33"/>
      <c r="D15" s="37">
        <f>IF( ISERROR(IND_rest_gas_kWh/1000),0,IND_rest_gas_kWh/1000)*0.902</f>
        <v>23318.830010215566</v>
      </c>
      <c r="E15" s="33">
        <f>C37*'E Balans VL '!I15/100/3.6*1000000</f>
        <v>203.91159351686693</v>
      </c>
      <c r="F15" s="33">
        <f>C37*'E Balans VL '!L15/100/3.6*1000000+C37*'E Balans VL '!N15/100/3.6*1000000</f>
        <v>731.46961861142313</v>
      </c>
      <c r="G15" s="34"/>
      <c r="H15" s="33"/>
      <c r="I15" s="33"/>
      <c r="J15" s="40">
        <f>C37*'E Balans VL '!D15/100/3.6*1000000+C37*'E Balans VL '!E15/100/3.6*1000000</f>
        <v>13.220812877142135</v>
      </c>
      <c r="K15" s="33"/>
      <c r="L15" s="33"/>
      <c r="M15" s="33"/>
      <c r="N15" s="33">
        <f>C37*'E Balans VL '!Y15/100/3.6*1000000</f>
        <v>828.39430237347779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22102.070204404397</v>
      </c>
      <c r="C18" s="21">
        <f>C5+C16</f>
        <v>0</v>
      </c>
      <c r="D18" s="21">
        <f>MAX((D5+D16),0)</f>
        <v>24695.233804472944</v>
      </c>
      <c r="E18" s="21">
        <f>MAX((E5+E16),0)</f>
        <v>563.37514835901084</v>
      </c>
      <c r="F18" s="21">
        <f>MAX((F5+F16),0)</f>
        <v>2833.1209024192831</v>
      </c>
      <c r="G18" s="21"/>
      <c r="H18" s="21"/>
      <c r="I18" s="21"/>
      <c r="J18" s="21">
        <f>MAX((J5+J16),0)</f>
        <v>14.021010770905976</v>
      </c>
      <c r="K18" s="21"/>
      <c r="L18" s="21">
        <f>MAX((L5+L16),0)</f>
        <v>0</v>
      </c>
      <c r="M18" s="21"/>
      <c r="N18" s="21">
        <f>MAX((N5+N16),0)</f>
        <v>2394.3599157893896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0.2034700082987812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4497.1084079104075</v>
      </c>
      <c r="C22" s="23">
        <f ca="1">C18*C20</f>
        <v>0</v>
      </c>
      <c r="D22" s="23">
        <f>D18*D20</f>
        <v>4988.4372285035352</v>
      </c>
      <c r="E22" s="23">
        <f>E18*E20</f>
        <v>127.88615867749546</v>
      </c>
      <c r="F22" s="23">
        <f>F18*F20</f>
        <v>756.44328094594857</v>
      </c>
      <c r="G22" s="23"/>
      <c r="H22" s="23"/>
      <c r="I22" s="23"/>
      <c r="J22" s="23">
        <f>J18*J20</f>
        <v>4.9634378129007155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889.49916218574106</v>
      </c>
      <c r="C30" s="39">
        <f>IF(ISERROR(B30*3.6/1000000/'E Balans VL '!Z18*100),0,B30*3.6/1000000/'E Balans VL '!Z18*100)</f>
        <v>5.0410198346094781E-2</v>
      </c>
      <c r="D30" s="237" t="s">
        <v>754</v>
      </c>
    </row>
    <row r="31" spans="1:18">
      <c r="A31" s="6" t="s">
        <v>33</v>
      </c>
      <c r="B31" s="37">
        <f>IF( ISERROR(IND_ander_ele_kWh/1000),0,IND_ander_ele_kWh/1000)</f>
        <v>1037.6775015078701</v>
      </c>
      <c r="C31" s="39">
        <f>IF(ISERROR(B31*3.6/1000000/'E Balans VL '!Z19*100),0,B31*3.6/1000000/'E Balans VL '!Z19*100)</f>
        <v>4.7064730654483154E-2</v>
      </c>
      <c r="D31" s="237" t="s">
        <v>754</v>
      </c>
    </row>
    <row r="32" spans="1:18">
      <c r="A32" s="171" t="s">
        <v>41</v>
      </c>
      <c r="B32" s="37">
        <f>IF( ISERROR(IND_voed_ele_kWh/1000),0,IND_voed_ele_kWh/1000)</f>
        <v>15994.9641176487</v>
      </c>
      <c r="C32" s="39">
        <f>IF(ISERROR(B32*3.6/1000000/'E Balans VL '!Z20*100),0,B32*3.6/1000000/'E Balans VL '!Z20*100)</f>
        <v>0.49479685116502226</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486.94531648297004</v>
      </c>
      <c r="C34" s="39">
        <f>IF(ISERROR(B34*3.6/1000000/'E Balans VL '!Z22*100),0,B34*3.6/1000000/'E Balans VL '!Z22*100)</f>
        <v>8.7586269916382992E-2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3692.9841065791197</v>
      </c>
      <c r="C37" s="39">
        <f>IF(ISERROR(B37*3.6/1000000/'E Balans VL '!Z15*100),0,B37*3.6/1000000/'E Balans VL '!Z15*100)</f>
        <v>2.9271434460462278E-2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3400.978823850422</v>
      </c>
      <c r="C5" s="17">
        <f>'Eigen informatie GS &amp; warmtenet'!B60</f>
        <v>0</v>
      </c>
      <c r="D5" s="30">
        <f>IF(ISERROR(SUM(LB_lb_gas_kWh,LB_rest_gas_kWh)/1000),0,SUM(LB_lb_gas_kWh,LB_rest_gas_kWh)/1000)*0.902</f>
        <v>3577.556600736365</v>
      </c>
      <c r="E5" s="17">
        <f>B17*'E Balans VL '!I25/3.6*1000000/100</f>
        <v>99.965155421266047</v>
      </c>
      <c r="F5" s="17">
        <f>B17*('E Balans VL '!L25/3.6*1000000+'E Balans VL '!N25/3.6*1000000)/100</f>
        <v>14168.294000911363</v>
      </c>
      <c r="G5" s="18"/>
      <c r="H5" s="17"/>
      <c r="I5" s="17"/>
      <c r="J5" s="17">
        <f>('E Balans VL '!D25+'E Balans VL '!E25)/3.6*1000000*landbouw!B17/100</f>
        <v>492.72879471963938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3400.978823850422</v>
      </c>
      <c r="C8" s="21">
        <f>C5+C6</f>
        <v>0</v>
      </c>
      <c r="D8" s="21">
        <f>MAX((D5+D6),0)</f>
        <v>3577.556600736365</v>
      </c>
      <c r="E8" s="21">
        <f>MAX((E5+E6),0)</f>
        <v>99.965155421266047</v>
      </c>
      <c r="F8" s="21">
        <f>MAX((F5+F6),0)</f>
        <v>14168.294000911363</v>
      </c>
      <c r="G8" s="21"/>
      <c r="H8" s="21"/>
      <c r="I8" s="21"/>
      <c r="J8" s="21">
        <f>MAX((J5+J6),0)</f>
        <v>492.72879471963938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0.2034700082987812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691.99718951282455</v>
      </c>
      <c r="C12" s="23">
        <f ca="1">C8*C10</f>
        <v>0</v>
      </c>
      <c r="D12" s="23">
        <f>D8*D10</f>
        <v>722.66643334874573</v>
      </c>
      <c r="E12" s="23">
        <f>E8*E10</f>
        <v>22.692090280627394</v>
      </c>
      <c r="F12" s="23">
        <f>F8*F10</f>
        <v>3782.934498243334</v>
      </c>
      <c r="G12" s="23"/>
      <c r="H12" s="23"/>
      <c r="I12" s="23"/>
      <c r="J12" s="23">
        <f>J8*J10</f>
        <v>174.42599333075233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0.48260956535002547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224.19607208019286</v>
      </c>
      <c r="C26" s="247">
        <f>B26*'GWP N2O_CH4'!B5</f>
        <v>4708.1175136840502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64.913865416516956</v>
      </c>
      <c r="C27" s="247">
        <f>B27*'GWP N2O_CH4'!B5</f>
        <v>1363.1911737468561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2.7017094242032718</v>
      </c>
      <c r="C28" s="247">
        <f>B28*'GWP N2O_CH4'!B4</f>
        <v>837.52992150301429</v>
      </c>
      <c r="D28" s="50"/>
    </row>
    <row r="29" spans="1:4">
      <c r="A29" s="41" t="s">
        <v>277</v>
      </c>
      <c r="B29" s="247">
        <f>B34*'ha_N2O bodem landbouw'!B4</f>
        <v>12.745529727041161</v>
      </c>
      <c r="C29" s="247">
        <f>B29*'GWP N2O_CH4'!B4</f>
        <v>3951.11421538276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2.9084859606613453E-3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1.8999845437254749E-4</v>
      </c>
      <c r="C5" s="463" t="s">
        <v>211</v>
      </c>
      <c r="D5" s="448">
        <f>SUM(D6:D11)</f>
        <v>7.9629147591744518E-4</v>
      </c>
      <c r="E5" s="448">
        <f>SUM(E6:E11)</f>
        <v>1.1062267876455702E-3</v>
      </c>
      <c r="F5" s="461" t="s">
        <v>211</v>
      </c>
      <c r="G5" s="448">
        <f>SUM(G6:G11)</f>
        <v>0.36033625453422807</v>
      </c>
      <c r="H5" s="448">
        <f>SUM(H6:H11)</f>
        <v>8.9973528907854053E-2</v>
      </c>
      <c r="I5" s="463" t="s">
        <v>211</v>
      </c>
      <c r="J5" s="463" t="s">
        <v>211</v>
      </c>
      <c r="K5" s="463" t="s">
        <v>211</v>
      </c>
      <c r="L5" s="463" t="s">
        <v>211</v>
      </c>
      <c r="M5" s="448">
        <f>SUM(M6:M11)</f>
        <v>2.3706924585956336E-2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3.1677353620952665E-5</v>
      </c>
      <c r="C6" s="449"/>
      <c r="D6" s="892">
        <f>vkm_2011_GW_PW*SUMIFS(TableVerdeelsleutelVkm[CNG],TableVerdeelsleutelVkm[Voertuigtype],"Lichte voertuigen")*SUMIFS(TableECFTransport[EnergieConsumptieFactor (PJ per km)],TableECFTransport[Index],CONCATENATE($A6,"_CNG_CNG"))</f>
        <v>9.5013879715654659E-5</v>
      </c>
      <c r="E6" s="892">
        <f>vkm_2011_GW_PW*SUMIFS(TableVerdeelsleutelVkm[LPG],TableVerdeelsleutelVkm[Voertuigtype],"Lichte voertuigen")*SUMIFS(TableECFTransport[EnergieConsumptieFactor (PJ per km)],TableECFTransport[Index],CONCATENATE($A6,"_LPG_LPG"))</f>
        <v>1.298026077627977E-4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3.3561004123436863E-2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1.0806735537046695E-2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2.2795819074217767E-3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3.7953551933508595E-3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1.1567471409239425E-6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2.2178775269782199E-4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9.3164235590710939E-5</v>
      </c>
      <c r="C8" s="449"/>
      <c r="D8" s="451">
        <f>vkm_2011_NGW_PW*SUMIFS(TableVerdeelsleutelVkm[CNG],TableVerdeelsleutelVkm[Voertuigtype],"Lichte voertuigen")*SUMIFS(TableECFTransport[EnergieConsumptieFactor (PJ per km)],TableECFTransport[Index],CONCATENATE($A8,"_CNG_CNG"))</f>
        <v>4.968460908572254E-4</v>
      </c>
      <c r="E8" s="451">
        <f>vkm_2011_NGW_PW*SUMIFS(TableVerdeelsleutelVkm[LPG],TableVerdeelsleutelVkm[Voertuigtype],"Lichte voertuigen")*SUMIFS(TableECFTransport[EnergieConsumptieFactor (PJ per km)],TableECFTransport[Index],CONCATENATE($A8,"_LPG_LPG"))</f>
        <v>6.2861167887418403E-4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0.15146091589736149</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5.4915853720251949E-2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1.0468977558281798E-2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3.2952226945843426E-2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9.4547757013461446E-6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1.9255996164298749E-3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6.5156865160883863E-5</v>
      </c>
      <c r="C10" s="449"/>
      <c r="D10" s="451">
        <f>vkm_2011_SW_PW*SUMIFS(TableVerdeelsleutelVkm[CNG],TableVerdeelsleutelVkm[Voertuigtype],"Lichte voertuigen")*SUMIFS(TableECFTransport[EnergieConsumptieFactor (PJ per km)],TableECFTransport[Index],CONCATENATE($A10,"_CNG_CNG"))</f>
        <v>2.0443150534456522E-4</v>
      </c>
      <c r="E10" s="451">
        <f>vkm_2011_SW_PW*SUMIFS(TableVerdeelsleutelVkm[LPG],TableVerdeelsleutelVkm[Voertuigtype],"Lichte voertuigen")*SUMIFS(TableECFTransport[EnergieConsumptieFactor (PJ per km)],TableECFTransport[Index],CONCATENATE($A10,"_LPG_LPG"))</f>
        <v>3.4781250100858843E-4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8.0171569520423994E-2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2.4221108606775649E-2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5.398518348644181E-3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5.8395182853811463E-2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1.9219520937487087E-5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3.4124594024808825E-3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52.777348436818741</v>
      </c>
      <c r="C14" s="21"/>
      <c r="D14" s="21">
        <f t="shared" ref="D14:M14" si="0">((D5)*10^9/3600)+D12</f>
        <v>221.19207664373477</v>
      </c>
      <c r="E14" s="21">
        <f t="shared" si="0"/>
        <v>307.2852187904362</v>
      </c>
      <c r="F14" s="21"/>
      <c r="G14" s="21">
        <f t="shared" si="0"/>
        <v>100093.40403728558</v>
      </c>
      <c r="H14" s="21">
        <f t="shared" si="0"/>
        <v>24992.646918848346</v>
      </c>
      <c r="I14" s="21"/>
      <c r="J14" s="21"/>
      <c r="K14" s="21"/>
      <c r="L14" s="21"/>
      <c r="M14" s="21">
        <f t="shared" si="0"/>
        <v>6585.2568294323155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0.2034700082987812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10.738607524427175</v>
      </c>
      <c r="C18" s="23"/>
      <c r="D18" s="23">
        <f t="shared" ref="D18:M18" si="1">D14*D16</f>
        <v>44.680799482034423</v>
      </c>
      <c r="E18" s="23">
        <f t="shared" si="1"/>
        <v>69.753744665429025</v>
      </c>
      <c r="F18" s="23"/>
      <c r="G18" s="23">
        <f t="shared" si="1"/>
        <v>26724.93887795525</v>
      </c>
      <c r="H18" s="23">
        <f t="shared" si="1"/>
        <v>6223.169082793238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8.4273000320466036E-3</v>
      </c>
      <c r="H50" s="321">
        <f t="shared" si="2"/>
        <v>0</v>
      </c>
      <c r="I50" s="321">
        <f t="shared" si="2"/>
        <v>0</v>
      </c>
      <c r="J50" s="321">
        <f t="shared" si="2"/>
        <v>0</v>
      </c>
      <c r="K50" s="321">
        <f t="shared" si="2"/>
        <v>0</v>
      </c>
      <c r="L50" s="321">
        <f t="shared" si="2"/>
        <v>0</v>
      </c>
      <c r="M50" s="321">
        <f t="shared" si="2"/>
        <v>4.7863343886053999E-4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8.4273000320466036E-3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4.7863343886053999E-4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2340.916675568501</v>
      </c>
      <c r="H54" s="21">
        <f t="shared" si="3"/>
        <v>0</v>
      </c>
      <c r="I54" s="21">
        <f t="shared" si="3"/>
        <v>0</v>
      </c>
      <c r="J54" s="21">
        <f t="shared" si="3"/>
        <v>0</v>
      </c>
      <c r="K54" s="21">
        <f t="shared" si="3"/>
        <v>0</v>
      </c>
      <c r="L54" s="21">
        <f t="shared" si="3"/>
        <v>0</v>
      </c>
      <c r="M54" s="21">
        <f t="shared" si="3"/>
        <v>132.95373301681667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0.2034700082987812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625.02475237678982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6486.6764637990864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6486.6764637990864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2019-08-12T08:32:16Z</dcterms:modified>
</cp:coreProperties>
</file>