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L22"/>
  <c r="G22"/>
  <c r="R12"/>
  <c r="D5" i="17"/>
  <c r="Q14" i="48" l="1"/>
  <c r="O9" i="18"/>
  <c r="L78" i="14"/>
  <c r="L8" i="61"/>
  <c r="L10" s="1"/>
  <c r="E90" i="14"/>
  <c r="E18" i="61"/>
  <c r="E20" s="1"/>
  <c r="K78" i="14"/>
  <c r="K8" i="61"/>
  <c r="K10" s="1"/>
  <c r="L90" i="14"/>
  <c r="L18" i="61"/>
  <c r="G10"/>
  <c r="O10"/>
  <c r="L20" i="18"/>
  <c r="C98"/>
  <c r="I101" s="1"/>
  <c r="H8" s="1"/>
  <c r="O77" i="14"/>
  <c r="O9" i="61" s="1"/>
  <c r="N20"/>
  <c r="K90" i="14"/>
  <c r="K22"/>
  <c r="N77"/>
  <c r="P27" i="48"/>
  <c r="B10" i="18"/>
  <c r="M77" i="14"/>
  <c r="M9" i="61" s="1"/>
  <c r="H9" i="18"/>
  <c r="L20" i="61"/>
  <c r="P22" i="14"/>
  <c r="E10" i="61"/>
  <c r="B17" i="18"/>
  <c r="B20" s="1"/>
  <c r="F13" i="15"/>
  <c r="O22" i="14"/>
  <c r="G77"/>
  <c r="G9" i="61" s="1"/>
  <c r="H20"/>
  <c r="P25" i="48"/>
  <c r="I77" i="14"/>
  <c r="I9" i="61" s="1"/>
  <c r="L13" i="15"/>
  <c r="B13"/>
  <c r="H90" i="14"/>
  <c r="N13" i="15"/>
  <c r="F77" i="14"/>
  <c r="F9" i="61" s="1"/>
  <c r="E101" i="18"/>
  <c r="E8" s="1"/>
  <c r="G101"/>
  <c r="I8" s="1"/>
  <c r="F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O90" l="1"/>
  <c r="O18" i="61"/>
  <c r="O20" s="1"/>
  <c r="D10"/>
  <c r="D101" i="18"/>
  <c r="C101"/>
  <c r="B101"/>
  <c r="C8" s="1"/>
  <c r="N78" i="14"/>
  <c r="N9" i="61"/>
  <c r="N10" s="1"/>
  <c r="H78" i="14"/>
  <c r="H9" i="61"/>
  <c r="H10" s="1"/>
  <c r="H101" i="18"/>
  <c r="G78" i="14"/>
  <c r="B88"/>
  <c r="B18" i="61" s="1"/>
  <c r="B77" i="14"/>
  <c r="B9" i="61" s="1"/>
  <c r="Q77" i="14"/>
  <c r="P9" i="61" s="1"/>
  <c r="J17" i="18"/>
  <c r="H20"/>
  <c r="M87" i="14"/>
  <c r="J8" i="18"/>
  <c r="O8" s="1"/>
  <c r="O10" s="1"/>
  <c r="M76" i="14"/>
  <c r="H10" i="18"/>
  <c r="E20"/>
  <c r="F87" i="14"/>
  <c r="C77"/>
  <c r="C9" i="61" s="1"/>
  <c r="C20" i="18"/>
  <c r="D87" i="14"/>
  <c r="D17" i="61" s="1"/>
  <c r="D20" s="1"/>
  <c r="D76" i="14"/>
  <c r="D8" i="61"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10" i="14" l="1"/>
  <c r="H16" s="1"/>
  <c r="G5" i="48"/>
  <c r="H5"/>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24"/>
  <c r="I28"/>
  <c r="I30"/>
  <c r="I22"/>
  <c r="I31"/>
  <c r="I32"/>
  <c r="I26"/>
  <c r="I29"/>
  <c r="I27"/>
  <c r="D4"/>
  <c r="D22" s="1"/>
  <c r="E11" i="14"/>
  <c r="H29" i="48"/>
  <c r="H32"/>
  <c r="H30"/>
  <c r="H24"/>
  <c r="H28"/>
  <c r="H25"/>
  <c r="H26"/>
  <c r="H22"/>
  <c r="H23"/>
  <c r="C4"/>
  <c r="D11" i="14"/>
  <c r="G23" i="48"/>
  <c r="G30"/>
  <c r="G32"/>
  <c r="G24"/>
  <c r="G29"/>
  <c r="G25"/>
  <c r="G22"/>
  <c r="G26"/>
  <c r="B4"/>
  <c r="C11" i="14"/>
  <c r="F30" i="48"/>
  <c r="F32"/>
  <c r="F24"/>
  <c r="F31"/>
  <c r="F29"/>
  <c r="F27"/>
  <c r="F28"/>
  <c r="N31"/>
  <c r="N30"/>
  <c r="N32"/>
  <c r="N24"/>
  <c r="N27"/>
  <c r="N28"/>
  <c r="N29"/>
  <c r="B10"/>
  <c r="C19" i="14"/>
  <c r="E31" i="48"/>
  <c r="E29"/>
  <c r="E24"/>
  <c r="E30"/>
  <c r="E28"/>
  <c r="E32"/>
  <c r="M29"/>
  <c r="M22"/>
  <c r="M25"/>
  <c r="M26"/>
  <c r="M32"/>
  <c r="M24"/>
  <c r="M30"/>
  <c r="M23"/>
  <c r="K5"/>
  <c r="L10" i="14"/>
  <c r="L16" s="1"/>
  <c r="L27" s="1"/>
  <c r="D30" i="48"/>
  <c r="D28"/>
  <c r="D31"/>
  <c r="D32"/>
  <c r="D24"/>
  <c r="D29"/>
  <c r="L29"/>
  <c r="L32"/>
  <c r="L27"/>
  <c r="L28"/>
  <c r="L30"/>
  <c r="L31"/>
  <c r="L24"/>
  <c r="L22"/>
  <c r="P5"/>
  <c r="P23" s="1"/>
  <c r="Q10" i="14"/>
  <c r="K32" i="48"/>
  <c r="K24"/>
  <c r="K27"/>
  <c r="K28"/>
  <c r="K31"/>
  <c r="K22"/>
  <c r="K29"/>
  <c r="K25"/>
  <c r="K26"/>
  <c r="K30"/>
  <c r="C24" i="14"/>
  <c r="C26" s="1"/>
  <c r="B7" i="48"/>
  <c r="J30"/>
  <c r="J32"/>
  <c r="J24"/>
  <c r="J31"/>
  <c r="J27"/>
  <c r="J28"/>
  <c r="J29"/>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K23"/>
  <c r="K33" s="1"/>
  <c r="K15"/>
  <c r="O22"/>
  <c r="E9"/>
  <c r="E27" s="1"/>
  <c r="F20" i="14"/>
  <c r="F22" s="1"/>
  <c r="Q13"/>
  <c r="Q16" s="1"/>
  <c r="Q27" s="1"/>
  <c r="P8" i="48"/>
  <c r="P26" s="1"/>
  <c r="D9"/>
  <c r="D27" s="1"/>
  <c r="E20" i="14"/>
  <c r="E22" s="1"/>
  <c r="P10"/>
  <c r="O5" i="48"/>
  <c r="O23" s="1"/>
  <c r="B9"/>
  <c r="C20" i="14"/>
  <c r="C22" s="1"/>
  <c r="J7" i="48"/>
  <c r="J25" s="1"/>
  <c r="K24" i="14"/>
  <c r="K26" s="1"/>
  <c r="P22" i="48"/>
  <c r="G11" i="14"/>
  <c r="F4" i="48"/>
  <c r="F22" s="1"/>
  <c r="I5"/>
  <c r="J10" i="14"/>
  <c r="J16" s="1"/>
  <c r="J27" s="1"/>
  <c r="J63"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J4" i="48"/>
  <c r="K11" i="14"/>
  <c r="O11"/>
  <c r="N4" i="48"/>
  <c r="N22" s="1"/>
  <c r="M10"/>
  <c r="M28" s="1"/>
  <c r="N19" i="14"/>
  <c r="H19"/>
  <c r="G10" i="48"/>
  <c r="E7"/>
  <c r="E25" s="1"/>
  <c r="F24" i="14"/>
  <c r="F26" s="1"/>
  <c r="P13"/>
  <c r="P16" s="1"/>
  <c r="P27" s="1"/>
  <c r="O8" i="48"/>
  <c r="I23"/>
  <c r="I33" s="1"/>
  <c r="I15"/>
  <c r="M14" i="22"/>
  <c r="P33" i="48"/>
  <c r="H14" i="22"/>
  <c r="P15" i="48"/>
  <c r="Q63" i="14"/>
  <c r="I20"/>
  <c r="I22" s="1"/>
  <c r="I27" s="1"/>
  <c r="H9" i="48"/>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P63" l="1"/>
  <c r="G28" i="48"/>
  <c r="Q10"/>
  <c r="G9"/>
  <c r="H20" i="14"/>
  <c r="H22" s="1"/>
  <c r="H27" s="1"/>
  <c r="J22" i="48"/>
  <c r="J5"/>
  <c r="J23" s="1"/>
  <c r="K10" i="14"/>
  <c r="E5" i="48"/>
  <c r="E23" s="1"/>
  <c r="F10" i="14"/>
  <c r="O26" i="48"/>
  <c r="O33" s="1"/>
  <c r="O15"/>
  <c r="R19" i="14"/>
  <c r="E22" i="48"/>
  <c r="Q4"/>
  <c r="Q7"/>
  <c r="M15"/>
  <c r="M27"/>
  <c r="M33" s="1"/>
  <c r="H15"/>
  <c r="H27"/>
  <c r="H33" s="1"/>
  <c r="N63" i="14"/>
  <c r="R20"/>
  <c r="R22" s="1"/>
  <c r="R24"/>
  <c r="R26" s="1"/>
  <c r="N18" i="16"/>
  <c r="E20" i="15"/>
  <c r="F40" i="14" s="1"/>
  <c r="F18" i="16"/>
  <c r="J18"/>
  <c r="E18"/>
  <c r="G18" i="22"/>
  <c r="H50" i="14" s="1"/>
  <c r="H52" s="1"/>
  <c r="H61" s="1"/>
  <c r="H18" i="22"/>
  <c r="I50" i="14" s="1"/>
  <c r="I52" s="1"/>
  <c r="I61" s="1"/>
  <c r="I63" s="1"/>
  <c r="F13" l="1"/>
  <c r="E8" i="48"/>
  <c r="E26" s="1"/>
  <c r="E33" s="1"/>
  <c r="G27"/>
  <c r="G33" s="1"/>
  <c r="G15"/>
  <c r="J8"/>
  <c r="K13" i="14"/>
  <c r="H63"/>
  <c r="F16"/>
  <c r="F27" s="1"/>
  <c r="F46"/>
  <c r="F61" s="1"/>
  <c r="Q9" i="48"/>
  <c r="K16" i="14"/>
  <c r="K27" s="1"/>
  <c r="N8" i="48"/>
  <c r="N26" s="1"/>
  <c r="O13" i="14"/>
  <c r="F8" i="48"/>
  <c r="G13" i="14"/>
  <c r="R13" s="1"/>
  <c r="E22" i="16"/>
  <c r="F43" i="14" s="1"/>
  <c r="F22" i="16"/>
  <c r="G43" i="14" s="1"/>
  <c r="N22" i="16"/>
  <c r="O43" i="14" s="1"/>
  <c r="J22" i="16"/>
  <c r="K43" i="14" s="1"/>
  <c r="K46" s="1"/>
  <c r="K61" s="1"/>
  <c r="J26" i="48" l="1"/>
  <c r="J33" s="1"/>
  <c r="J15"/>
  <c r="E15"/>
  <c r="K63" i="14"/>
  <c r="F6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<sst xmlns="http://schemas.openxmlformats.org/spreadsheetml/2006/main" count="2383" uniqueCount="881">
  <si>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</si>
  <si>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</si>
  <si>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</si>
  <si>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</si>
  <si>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</si>
  <si>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</si>
  <si>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</si>
  <si>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</si>
  <si>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</si>
  <si>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</si>
  <si>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</si>
  <si>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</si>
  <si>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</si>
  <si>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</si>
  <si>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</si>
  <si>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</si>
  <si>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</si>
  <si>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</si>
  <si>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</si>
  <si>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</si>
  <si>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</si>
  <si>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</si>
  <si>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</si>
  <si>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</si>
  <si>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</si>
  <si>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</si>
  <si>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</si>
  <si>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</si>
  <si>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</si>
  <si>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</si>
  <si>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</si>
  <si>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</si>
  <si>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</si>
  <si>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</si>
  <si>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</si>
  <si>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</si>
  <si>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</si>
  <si>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</si>
  <si>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</si>
  <si>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</si>
  <si>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</si>
  <si>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</si>
  <si>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</si>
  <si>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</si>
  <si>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</si>
  <si>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</si>
  <si>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</si>
  <si>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</si>
  <si>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</si>
  <si>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</si>
  <si>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</si>
  <si>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</si>
  <si>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</si>
  <si>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</si>
  <si>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</si>
  <si>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</si>
  <si>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</si>
  <si>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</si>
  <si>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</si>
  <si>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</si>
  <si>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</si>
  <si>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</si>
  <si>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</si>
  <si>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</si>
  <si>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</si>
  <si>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</si>
  <si>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</si>
  <si>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</si>
  <si>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</si>
  <si>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</si>
  <si>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</si>
  <si>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</si>
  <si>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</si>
  <si>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</si>
  <si>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</si>
  <si>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</si>
  <si>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</si>
  <si>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</si>
  <si>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</si>
  <si>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</si>
  <si>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</si>
  <si>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</si>
  <si>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</si>
  <si>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</si>
  <si>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</si>
  <si>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</si>
  <si>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</si>
  <si>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</si>
  <si>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</si>
  <si>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</si>
  <si>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</si>
  <si>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</si>
  <si>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</si>
  <si>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</si>
  <si>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</si>
  <si>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</si>
  <si>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</si>
  <si>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</si>
  <si>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</si>
  <si>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</si>
  <si>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</si>
  <si>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</si>
  <si>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</si>
  <si>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</si>
  <si>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</si>
  <si>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</si>
  <si>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</si>
  <si>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</si>
  <si>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</si>
  <si>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</si>
  <si>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</si>
  <si>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</si>
  <si>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</si>
  <si>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</si>
  <si>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</si>
  <si>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</si>
  <si>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</si>
  <si>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</si>
  <si>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</si>
  <si>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</si>
  <si>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</si>
  <si>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</si>
  <si>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</si>
  <si>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</si>
  <si>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</si>
  <si>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</si>
  <si>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</si>
  <si>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</si>
  <si>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</si>
  <si>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</si>
  <si>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</si>
  <si>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</si>
  <si>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</si>
  <si>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</si>
  <si>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</si>
  <si>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</si>
  <si>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</si>
  <si>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</si>
  <si>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</si>
  <si>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</si>
  <si>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</si>
  <si>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</si>
  <si>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</si>
  <si>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</si>
  <si>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</si>
  <si>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</si>
  <si>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</si>
  <si>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</si>
  <si>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</si>
  <si>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</si>
  <si>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</si>
  <si>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</si>
  <si>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</si>
  <si>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</si>
  <si>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</si>
  <si>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</si>
  <si>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</si>
  <si>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</si>
  <si>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</si>
  <si>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</si>
  <si>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</si>
  <si>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</si>
  <si>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</si>
  <si>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</si>
  <si>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</si>
  <si>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</si>
  <si>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</si>
  <si>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</si>
  <si>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</si>
  <si>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</si>
  <si>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</si>
  <si>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</si>
  <si>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</si>
  <si>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</si>
  <si>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</si>
  <si>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</si>
  <si>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</si>
  <si>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</si>
  <si>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</si>
  <si>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</si>
  <si>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</si>
  <si>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</si>
  <si>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</si>
  <si>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</si>
  <si>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</si>
  <si>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</si>
  <si>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</si>
  <si>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</si>
  <si>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</si>
  <si>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</si>
  <si>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</si>
  <si>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</si>
  <si>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</si>
  <si>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</si>
  <si>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</si>
  <si>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</si>
  <si>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</si>
  <si>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</si>
  <si>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</si>
  <si>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</si>
  <si>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</si>
  <si>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</si>
  <si>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</si>
  <si>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</si>
  <si>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</si>
  <si>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</si>
  <si>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</si>
  <si>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</si>
  <si>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</si>
  <si>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</si>
  <si>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</si>
  <si>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</si>
  <si>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</si>
  <si>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</si>
  <si>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</si>
  <si>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</si>
  <si>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</si>
  <si>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</si>
  <si>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</si>
  <si>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</si>
  <si>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</si>
  <si>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</si>
  <si>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</si>
  <si>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</si>
  <si>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</si>
  <si>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</si>
  <si>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</si>
  <si>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</si>
  <si>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</si>
  <si>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</si>
  <si>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</si>
  <si>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</si>
  <si>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</si>
  <si>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</si>
  <si>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</si>
  <si>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</si>
  <si>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</si>
  <si>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</si>
  <si>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</si>
  <si>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</si>
  <si>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</si>
  <si>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</si>
  <si>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</si>
  <si>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</si>
  <si>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</si>
  <si>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</si>
  <si>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</si>
  <si>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</si>
  <si>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</si>
  <si>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</si>
  <si>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</si>
  <si>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</si>
  <si>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</si>
  <si>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</si>
  <si>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</si>
  <si>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</si>
  <si>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</si>
  <si>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</si>
  <si>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</si>
  <si>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</si>
  <si>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</si>
  <si>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</si>
  <si>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</si>
  <si>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</si>
  <si>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</si>
  <si>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</si>
  <si>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</si>
  <si>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</si>
  <si>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</si>
  <si>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</si>
  <si>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</si>
  <si>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</si>
  <si>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</si>
  <si>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</si>
  <si>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</si>
  <si>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</si>
  <si>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</si>
  <si>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</si>
  <si>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</si>
  <si>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</si>
  <si>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</si>
  <si>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</si>
  <si>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</si>
  <si>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</si>
  <si>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</si>
  <si>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</si>
  <si>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</si>
  <si>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</si>
  <si>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</si>
  <si>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</si>
  <si>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</si>
  <si>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</si>
  <si>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</si>
  <si>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</si>
  <si>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</si>
  <si>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</si>
  <si>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</si>
  <si>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</si>
  <si>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</si>
  <si>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</si>
  <si>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</si>
  <si>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</si>
  <si>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</si>
  <si>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</si>
  <si>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</si>
  <si>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</si>
  <si>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</si>
  <si>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</si>
  <si>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</si>
  <si>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</si>
  <si>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</si>
  <si>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</si>
  <si>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</si>
  <si>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</si>
  <si>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</si>
  <si>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</si>
  <si>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</si>
  <si>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</si>
  <si>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</si>
  <si>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</si>
  <si>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</si>
  <si>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</si>
  <si>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</si>
  <si>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</si>
  <si>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</si>
  <si>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</si>
  <si>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</si>
  <si>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</si>
  <si>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</si>
  <si>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</si>
  <si>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</si>
  <si>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</si>
  <si>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</si>
  <si>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</si>
  <si>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</si>
  <si>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</si>
  <si>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</si>
  <si>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</si>
  <si>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</si>
  <si>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</si>
  <si>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</si>
  <si>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</si>
  <si>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</si>
  <si>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</si>
  <si>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</si>
  <si>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</si>
  <si>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</si>
  <si>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</si>
  <si>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</si>
  <si>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</si>
  <si>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</si>
  <si>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</si>
  <si>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</si>
  <si>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</si>
  <si>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</si>
  <si>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</si>
  <si>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</si>
  <si>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</si>
  <si>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</si>
  <si>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</si>
  <si>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</si>
  <si>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</si>
  <si>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</si>
  <si>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</si>
  <si>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</si>
  <si>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</si>
  <si>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</si>
  <si>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</si>
  <si>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</si>
  <si>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</si>
  <si>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</si>
  <si>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</si>
  <si>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</si>
  <si>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</si>
  <si>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</si>
  <si>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</si>
  <si>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</si>
  <si>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</si>
  <si>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</si>
  <si>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</si>
  <si>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</si>
  <si>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</si>
  <si>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</si>
  <si>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</si>
  <si>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</si>
  <si>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</si>
  <si>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</si>
  <si>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</si>
  <si>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</si>
  <si>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</si>
  <si>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</si>
  <si>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</si>
  <si>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</si>
  <si>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</si>
  <si>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</si>
  <si>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</si>
  <si>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</si>
  <si>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</si>
  <si>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</si>
  <si>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</si>
  <si>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</si>
  <si>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</si>
  <si>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</si>
  <si>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</si>
  <si>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</si>
  <si>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</si>
  <si>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</si>
  <si>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</si>
  <si>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</si>
  <si>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</si>
  <si>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</si>
  <si>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</si>
  <si>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</si>
  <si>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</si>
  <si>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</si>
  <si>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</si>
  <si>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</si>
  <si>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</si>
  <si>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</si>
  <si>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</si>
  <si>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</si>
  <si>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</si>
  <si>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</si>
  <si>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</si>
  <si>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</si>
  <si>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</si>
  <si>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</si>
  <si>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</si>
  <si>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</si>
  <si>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</si>
  <si>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</si>
  <si>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</si>
  <si>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</si>
  <si>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</si>
  <si>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</si>
  <si>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</si>
  <si>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</si>
  <si>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</si>
  <si>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</si>
  <si>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</si>
  <si>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</si>
  <si>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</si>
  <si>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</si>
  <si>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</si>
  <si>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</si>
  <si>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</si>
  <si>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</si>
  <si>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</si>
  <si>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</si>
  <si>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</si>
  <si>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</si>
  <si>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</si>
  <si>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</si>
  <si>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</si>
  <si>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</si>
  <si>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</si>
  <si>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</si>
  <si>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</si>
  <si>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</si>
  <si>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</si>
  <si>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</si>
  <si>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</si>
  <si>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</si>
  <si>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</si>
  <si>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</si>
  <si>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</si>
  <si>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</si>
  <si>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</si>
  <si>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</si>
  <si>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</si>
  <si>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</si>
  <si>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</si>
  <si>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</si>
  <si>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</si>
  <si>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</si>
  <si>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</si>
  <si>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</si>
  <si>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</si>
  <si>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</si>
  <si>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</si>
  <si>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</si>
  <si>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</si>
  <si>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</si>
  <si>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</si>
  <si>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</si>
  <si>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</si>
  <si>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</si>
  <si>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</si>
  <si>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</si>
  <si>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</si>
  <si>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</si>
  <si>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</si>
  <si>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</si>
  <si>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</si>
  <si>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</si>
  <si>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</si>
  <si>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</si>
  <si>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</si>
  <si>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</si>
  <si>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</si>
  <si>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</si>
  <si>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</si>
  <si>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</si>
  <si>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</si>
  <si>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</si>
  <si>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</si>
  <si>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</si>
  <si>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</si>
  <si>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</si>
  <si>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</si>
  <si>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</si>
  <si>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</si>
  <si>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</si>
  <si>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</si>
  <si>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</si>
  <si>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</si>
  <si>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</si>
  <si>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</si>
  <si>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</si>
  <si>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</si>
  <si>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</si>
  <si>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</si>
  <si>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</si>
  <si>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</si>
  <si>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</si>
  <si>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</si>
  <si>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</si>
  <si>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</si>
  <si>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</si>
  <si>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</si>
  <si>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</si>
  <si>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</si>
  <si>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</si>
  <si>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</si>
  <si>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</si>
  <si>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</si>
  <si>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</si>
  <si>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</si>
  <si>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</si>
  <si>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</si>
  <si>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</si>
  <si>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</si>
  <si>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</si>
  <si>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</si>
  <si>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</si>
  <si>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</si>
  <si>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</si>
  <si>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</si>
  <si>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</si>
  <si>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</si>
  <si>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</si>
  <si>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</si>
  <si>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</si>
  <si>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</si>
  <si>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</si>
  <si>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</si>
  <si>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</si>
  <si>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</si>
  <si>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</si>
  <si>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</si>
  <si>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</si>
  <si>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</si>
  <si>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</si>
  <si>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</si>
  <si>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</si>
  <si>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</si>
  <si>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</si>
  <si>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</si>
  <si>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</si>
  <si>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</si>
  <si>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</si>
  <si>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</si>
  <si>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</si>
  <si>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</si>
  <si>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</si>
  <si>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</si>
  <si>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</si>
  <si>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</si>
  <si>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</si>
  <si>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</si>
  <si>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</si>
  <si>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</si>
  <si>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</si>
  <si>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</si>
  <si>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</si>
  <si>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</si>
  <si>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</si>
  <si>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</si>
  <si>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</si>
  <si>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</si>
  <si>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</si>
  <si>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</si>
  <si>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</si>
  <si>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</si>
  <si>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</si>
  <si>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</si>
  <si>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</si>
  <si>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</si>
  <si>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</si>
  <si>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</si>
  <si>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</si>
  <si>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</si>
  <si>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</si>
  <si>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</si>
  <si>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</si>
  <si>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</si>
  <si>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</si>
  <si>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</si>
  <si>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</si>
  <si>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</si>
  <si>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</si>
  <si>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</si>
  <si>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</si>
  <si>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</si>
  <si>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</si>
  <si>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</si>
  <si>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</si>
  <si>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</si>
  <si>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</si>
  <si>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</si>
  <si>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</si>
  <si>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</si>
  <si>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</si>
  <si>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</si>
  <si>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</si>
  <si>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</si>
  <si>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</si>
  <si>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</si>
  <si>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</si>
  <si>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</si>
  <si>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</si>
  <si>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</si>
  <si>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</si>
  <si>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</si>
  <si>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</si>
  <si>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</si>
  <si>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</si>
  <si>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</si>
  <si>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</si>
  <si>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</si>
  <si>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</si>
  <si>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</si>
  <si>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</si>
  <si>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</si>
  <si>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</si>
  <si>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</si>
  <si>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</si>
  <si>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</si>
  <si>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</si>
  <si>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</si>
  <si>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</si>
  <si>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</si>
  <si>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</si>
  <si>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</si>
  <si>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</si>
  <si>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</si>
  <si>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</si>
  <si>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</si>
  <si>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</si>
  <si>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</si>
  <si>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</si>
  <si>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</si>
  <si>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</si>
  <si>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</si>
  <si>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</si>
  <si>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</si>
  <si>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</si>
  <si>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</si>
  <si>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</si>
  <si>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</si>
  <si>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</si>
  <si>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</si>
  <si>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</si>
  <si>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</si>
  <si>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</si>
  <si>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</si>
  <si>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</si>
  <si>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</si>
  <si>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</si>
  <si>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</si>
  <si>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</si>
  <si>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</si>
  <si>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</si>
  <si>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</si>
  <si>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</si>
  <si>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</si>
  <si>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</si>
  <si>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</si>
  <si>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</si>
  <si>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</si>
  <si>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</si>
  <si>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</si>
  <si>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</si>
  <si>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</si>
  <si>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</si>
  <si>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</si>
  <si>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</si>
  <si>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</si>
  <si>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</si>
  <si>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</si>
  <si>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</si>
  <si>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</si>
  <si>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</si>
  <si>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</si>
  <si>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</si>
  <si>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</si>
  <si>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</si>
  <si>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</si>
  <si>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</si>
  <si>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</si>
  <si>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</si>
  <si>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</si>
  <si>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</si>
  <si>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</si>
  <si>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</si>
  <si>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</si>
  <si>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</si>
  <si>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</si>
  <si>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</si>
  <si>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</si>
  <si>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</si>
  <si>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</si>
  <si>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</si>
  <si>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</si>
  <si>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</si>
  <si>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</si>
  <si>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</si>
  <si>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</si>
  <si>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</si>
  <si>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</si>
  <si>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</si>
  <si>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</si>
  <si>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</si>
  <si>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</si>
  <si>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</si>
  <si>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</si>
  <si>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</si>
  <si>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</si>
  <si>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</si>
  <si>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</si>
  <si>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</si>
  <si>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</si>
  <si>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</si>
  <si>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</si>
  <si>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</si>
  <si>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</si>
  <si>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</si>
  <si>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</si>
  <si>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</si>
  <si>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</si>
  <si>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</si>
  <si>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</si>
  <si>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</si>
  <si>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</si>
  <si>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</si>
  <si>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</si>
  <si>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</si>
  <si>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</si>
  <si>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</si>
  <si>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</si>
  <si>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</si>
  <si>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</si>
  <si>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</si>
  <si>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</si>
  <si>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</si>
  <si>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</si>
  <si>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</si>
  <si>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</si>
  <si>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</si>
  <si>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</si>
  <si>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</si>
  <si>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</si>
  <si>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</si>
  <si>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</si>
  <si>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</si>
  <si>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</si>
  <si>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</si>
  <si>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</si>
  <si>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</si>
  <si>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</si>
  <si>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</si>
  <si>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</si>
  <si>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</si>
  <si>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</si>
  <si>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</si>
  <si>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</si>
  <si>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</si>
  <si>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</si>
  <si>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</si>
  <si>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</si>
  <si>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</si>
  <si>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</si>
  <si>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</si>
  <si>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</si>
  <si>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</si>
  <si>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</si>
  <si>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</si>
  <si>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</si>
  <si>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</si>
  <si>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</si>
  <si>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</si>
  <si>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</si>
  <si>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</si>
  <si>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</si>
  <si>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</si>
  <si>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</si>
  <si>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</si>
  <si>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</si>
  <si>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</si>
  <si>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</si>
  <si>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</si>
  <si>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</si>
  <si>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</si>
  <si>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</si>
  <si>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</si>
  <si>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</si>
  <si>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</si>
  <si>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</si>
  <si>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</si>
  <si>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</si>
  <si>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</si>
  <si>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</si>
  <si>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</si>
  <si>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</si>
  <si>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</si>
  <si>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</si>
  <si>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</si>
  <si>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</si>
  <si>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</si>
  <si>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</si>
  <si>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</si>
  <si>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</si>
  <si>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</si>
  <si>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</si>
  <si>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</si>
  <si>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</si>
  <si>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</si>
  <si>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</si>
  <si>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</si>
  <si>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</si>
  <si>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</si>
  <si>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</si>
  <si>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</si>
  <si>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</si>
  <si>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</si>
  <si>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</si>
  <si>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</si>
  <si>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</si>
  <si>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</si>
  <si>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</si>
  <si>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</si>
  <si>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</si>
  <si>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</si>
  <si>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</si>
  <si>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</si>
  <si>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</si>
  <si>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</si>
  <si>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</si>
  <si>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</si>
  <si>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</si>
  <si>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</si>
  <si>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</si>
  <si>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</si>
  <si>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</si>
  <si>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</si>
  <si>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</si>
  <si>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</si>
  <si>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</si>
  <si>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</si>
  <si>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</si>
  <si>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</si>
  <si>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</si>
  <si>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</si>
  <si>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23038</t>
  </si>
  <si>
    <t>KAMPENHOUT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</si>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</sst>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98472.44494127894</c:v>
                </c:pt>
                <c:pt idx="1">
                  <c:v>28616.728792089947</c:v>
                </c:pt>
                <c:pt idx="2">
                  <c:v>1137.5409999999999</c:v>
                </c:pt>
                <c:pt idx="3">
                  <c:v>6716.5989995060245</c:v>
                </c:pt>
                <c:pt idx="4">
                  <c:v>15795.150660372194</c:v>
                </c:pt>
                <c:pt idx="5">
                  <c:v>74443.433225854504</c:v>
                </c:pt>
                <c:pt idx="6">
                  <c:v>2820.6890063195333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98472.44494127894</c:v>
                </c:pt>
                <c:pt idx="1">
                  <c:v>28616.728792089947</c:v>
                </c:pt>
                <c:pt idx="2">
                  <c:v>1137.5409999999999</c:v>
                </c:pt>
                <c:pt idx="3">
                  <c:v>6716.5989995060245</c:v>
                </c:pt>
                <c:pt idx="4">
                  <c:v>15795.150660372194</c:v>
                </c:pt>
                <c:pt idx="5">
                  <c:v>74443.433225854504</c:v>
                </c:pt>
                <c:pt idx="6">
                  <c:v>2820.6890063195333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20463.192948585667</c:v>
                </c:pt>
                <c:pt idx="2">
                  <c:v>5656.7651576814369</c:v>
                </c:pt>
                <c:pt idx="3">
                  <c:v>227.20160056181493</c:v>
                </c:pt>
                <c:pt idx="4">
                  <c:v>1713.9532831312599</c:v>
                </c:pt>
                <c:pt idx="5">
                  <c:v>1659.3234924038968</c:v>
                </c:pt>
                <c:pt idx="6">
                  <c:v>18625.888169756527</c:v>
                </c:pt>
                <c:pt idx="7">
                  <c:v>712.64866647358917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41344"/>
        <c:axId val="183267712"/>
      </c:barChart>
      <c:catAx>
        <c:axId val="183241344"/>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41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20463.192948585667</c:v>
                </c:pt>
                <c:pt idx="2">
                  <c:v>5656.7651576814369</c:v>
                </c:pt>
                <c:pt idx="3">
                  <c:v>227.20160056181493</c:v>
                </c:pt>
                <c:pt idx="4">
                  <c:v>1713.9532831312599</c:v>
                </c:pt>
                <c:pt idx="5">
                  <c:v>1659.3234924038968</c:v>
                </c:pt>
                <c:pt idx="6">
                  <c:v>18625.888169756527</c:v>
                </c:pt>
                <c:pt idx="7">
                  <c:v>712.64866647358917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23038</v>
      </c>
      <c r="B6" s="415"/>
      <c r="C6" s="416"/>
    </row>
    <row r="7" spans="1:7" s="413" customFormat="1" ht="15.75" customHeight="1">
      <c r="A7" s="417" t="str">
        <f>txtMunicipality</f>
        <v>KAMPENHOUT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16346.868153646907</v>
      </c>
      <c r="D10" s="1013">
        <f ca="1">tertiair!C16</f>
        <v>0</v>
      </c>
      <c r="E10" s="1013">
        <f ca="1">tertiair!D16</f>
        <v>8973.020525150001</v>
      </c>
      <c r="F10" s="1013">
        <f>tertiair!E16</f>
        <v>308.42179311982943</v>
      </c>
      <c r="G10" s="1013">
        <f ca="1">tertiair!F16</f>
        <v>2758.1480966106092</v>
      </c>
      <c r="H10" s="1013">
        <f>tertiair!G16</f>
        <v>0</v>
      </c>
      <c r="I10" s="1013">
        <f>tertiair!H16</f>
        <v>0</v>
      </c>
      <c r="J10" s="1013">
        <f>tertiair!I16</f>
        <v>0</v>
      </c>
      <c r="K10" s="1013">
        <f>tertiair!J16</f>
        <v>3.2868395656755804E-2</v>
      </c>
      <c r="L10" s="1013">
        <f>tertiair!K16</f>
        <v>0</v>
      </c>
      <c r="M10" s="1013">
        <f ca="1">tertiair!L16</f>
        <v>0</v>
      </c>
      <c r="N10" s="1013">
        <f>tertiair!M16</f>
        <v>0</v>
      </c>
      <c r="O10" s="1013">
        <f ca="1">tertiair!N16</f>
        <v>1309.0150218336089</v>
      </c>
      <c r="P10" s="1013">
        <f>tertiair!O16</f>
        <v>1.5633333333333335</v>
      </c>
      <c r="Q10" s="1014">
        <f>tertiair!P16</f>
        <v>57.2</v>
      </c>
      <c r="R10" s="700">
        <f ca="1">SUM(C10:Q10)</f>
        <v>29754.269792089948</v>
      </c>
      <c r="S10" s="67"/>
    </row>
    <row r="11" spans="1:19" s="473" customFormat="1">
      <c r="A11" s="809" t="s">
        <v>225</v>
      </c>
      <c r="B11" s="814"/>
      <c r="C11" s="1013">
        <f>huishoudens!B8</f>
        <v>20936.83838040254</v>
      </c>
      <c r="D11" s="1013">
        <f>huishoudens!C8</f>
        <v>0</v>
      </c>
      <c r="E11" s="1013">
        <f>huishoudens!D8</f>
        <v>36056.6304428</v>
      </c>
      <c r="F11" s="1013">
        <f>huishoudens!E8</f>
        <v>5029.3114149870171</v>
      </c>
      <c r="G11" s="1013">
        <f>huishoudens!F8</f>
        <v>29424.626596721784</v>
      </c>
      <c r="H11" s="1013">
        <f>huishoudens!G8</f>
        <v>0</v>
      </c>
      <c r="I11" s="1013">
        <f>huishoudens!H8</f>
        <v>0</v>
      </c>
      <c r="J11" s="1013">
        <f>huishoudens!I8</f>
        <v>0</v>
      </c>
      <c r="K11" s="1013">
        <f>huishoudens!J8</f>
        <v>0</v>
      </c>
      <c r="L11" s="1013">
        <f>huishoudens!K8</f>
        <v>0</v>
      </c>
      <c r="M11" s="1013">
        <f>huishoudens!L8</f>
        <v>0</v>
      </c>
      <c r="N11" s="1013">
        <f>huishoudens!M8</f>
        <v>0</v>
      </c>
      <c r="O11" s="1013">
        <f>huishoudens!N8</f>
        <v>5768.1414397009421</v>
      </c>
      <c r="P11" s="1013">
        <f>huishoudens!O8</f>
        <v>189.16333333333336</v>
      </c>
      <c r="Q11" s="1014">
        <f>huishoudens!P8</f>
        <v>1067.7333333333333</v>
      </c>
      <c r="R11" s="700">
        <f>SUM(C11:Q11)</f>
        <v>98472.44494127894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5186.5824499999999</v>
      </c>
      <c r="D13" s="1013">
        <f>industrie!C18</f>
        <v>0</v>
      </c>
      <c r="E13" s="1013">
        <f>industrie!D18</f>
        <v>1808.5371051000002</v>
      </c>
      <c r="F13" s="1013">
        <f>industrie!E18</f>
        <v>219.75350237746227</v>
      </c>
      <c r="G13" s="1013">
        <f>industrie!F18</f>
        <v>778.08604669282624</v>
      </c>
      <c r="H13" s="1013">
        <f>industrie!G18</f>
        <v>0</v>
      </c>
      <c r="I13" s="1013">
        <f>industrie!H18</f>
        <v>0</v>
      </c>
      <c r="J13" s="1013">
        <f>industrie!I18</f>
        <v>0</v>
      </c>
      <c r="K13" s="1013">
        <f>industrie!J18</f>
        <v>1.263893143016781</v>
      </c>
      <c r="L13" s="1013">
        <f>industrie!K18</f>
        <v>0</v>
      </c>
      <c r="M13" s="1013">
        <f>industrie!L18</f>
        <v>0</v>
      </c>
      <c r="N13" s="1013">
        <f>industrie!M18</f>
        <v>0</v>
      </c>
      <c r="O13" s="1013">
        <f>industrie!N18</f>
        <v>7800.9276630588884</v>
      </c>
      <c r="P13" s="1013">
        <f>industrie!O18</f>
        <v>0</v>
      </c>
      <c r="Q13" s="1014">
        <f>industrie!P18</f>
        <v>0</v>
      </c>
      <c r="R13" s="700">
        <f>SUM(C13:Q13)</f>
        <v>15795.150660372194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42470.288984049446</v>
      </c>
      <c r="D16" s="732">
        <f t="shared" ref="D16:R16" ca="1" si="0">SUM(D9:D15)</f>
        <v>0</v>
      </c>
      <c r="E16" s="732">
        <f t="shared" ca="1" si="0"/>
        <v>46838.188073049998</v>
      </c>
      <c r="F16" s="732">
        <f t="shared" si="0"/>
        <v>5557.4867104843088</v>
      </c>
      <c r="G16" s="732">
        <f t="shared" ca="1" si="0"/>
        <v>32960.860740025222</v>
      </c>
      <c r="H16" s="732">
        <f t="shared" si="0"/>
        <v>0</v>
      </c>
      <c r="I16" s="732">
        <f t="shared" si="0"/>
        <v>0</v>
      </c>
      <c r="J16" s="732">
        <f t="shared" si="0"/>
        <v>0</v>
      </c>
      <c r="K16" s="732">
        <f t="shared" si="0"/>
        <v>1.2967615386735367</v>
      </c>
      <c r="L16" s="732">
        <f t="shared" si="0"/>
        <v>0</v>
      </c>
      <c r="M16" s="732">
        <f t="shared" ca="1" si="0"/>
        <v>0</v>
      </c>
      <c r="N16" s="732">
        <f t="shared" si="0"/>
        <v>0</v>
      </c>
      <c r="O16" s="732">
        <f t="shared" ca="1" si="0"/>
        <v>14878.084124593439</v>
      </c>
      <c r="P16" s="732">
        <f t="shared" si="0"/>
        <v>190.72666666666669</v>
      </c>
      <c r="Q16" s="732">
        <f t="shared" si="0"/>
        <v>1124.9333333333334</v>
      </c>
      <c r="R16" s="732">
        <f t="shared" ca="1" si="0"/>
        <v>144021.86539374109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2669.0961291145659</v>
      </c>
      <c r="I19" s="1013">
        <f>transport!H54</f>
        <v>0</v>
      </c>
      <c r="J19" s="1013">
        <f>transport!I54</f>
        <v>0</v>
      </c>
      <c r="K19" s="1013">
        <f>transport!J54</f>
        <v>0</v>
      </c>
      <c r="L19" s="1013">
        <f>transport!K54</f>
        <v>0</v>
      </c>
      <c r="M19" s="1013">
        <f>transport!L54</f>
        <v>0</v>
      </c>
      <c r="N19" s="1013">
        <f>transport!M54</f>
        <v>151.59287720496761</v>
      </c>
      <c r="O19" s="1013">
        <f>transport!N54</f>
        <v>0</v>
      </c>
      <c r="P19" s="1013">
        <f>transport!O54</f>
        <v>0</v>
      </c>
      <c r="Q19" s="1014">
        <f>transport!P54</f>
        <v>0</v>
      </c>
      <c r="R19" s="700">
        <f>SUM(C19:Q19)</f>
        <v>2820.6890063195333</v>
      </c>
      <c r="S19" s="67"/>
    </row>
    <row r="20" spans="1:19" s="473" customFormat="1">
      <c r="A20" s="809" t="s">
        <v>307</v>
      </c>
      <c r="B20" s="814"/>
      <c r="C20" s="1013">
        <f>transport!B14</f>
        <v>31.669081214757664</v>
      </c>
      <c r="D20" s="1013">
        <f>transport!C14</f>
        <v>0</v>
      </c>
      <c r="E20" s="1013">
        <f>transport!D14</f>
        <v>117.91146578127503</v>
      </c>
      <c r="F20" s="1013">
        <f>transport!E14</f>
        <v>155.79625668972145</v>
      </c>
      <c r="G20" s="1013">
        <f>transport!F14</f>
        <v>0</v>
      </c>
      <c r="H20" s="1013">
        <f>transport!G14</f>
        <v>57159.291945543664</v>
      </c>
      <c r="I20" s="1013">
        <f>transport!H14</f>
        <v>13248.38583698458</v>
      </c>
      <c r="J20" s="1013">
        <f>transport!I14</f>
        <v>0</v>
      </c>
      <c r="K20" s="1013">
        <f>transport!J14</f>
        <v>0</v>
      </c>
      <c r="L20" s="1013">
        <f>transport!K14</f>
        <v>0</v>
      </c>
      <c r="M20" s="1013">
        <f>transport!L14</f>
        <v>0</v>
      </c>
      <c r="N20" s="1013">
        <f>transport!M14</f>
        <v>3730.3786396405048</v>
      </c>
      <c r="O20" s="1013">
        <f>transport!N14</f>
        <v>0</v>
      </c>
      <c r="P20" s="1013">
        <f>transport!O14</f>
        <v>0</v>
      </c>
      <c r="Q20" s="1014">
        <f>transport!P14</f>
        <v>0</v>
      </c>
      <c r="R20" s="700">
        <f>SUM(C20:Q20)</f>
        <v>74443.433225854504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31.669081214757664</v>
      </c>
      <c r="D22" s="812">
        <f t="shared" ref="D22:R22" si="1">SUM(D18:D21)</f>
        <v>0</v>
      </c>
      <c r="E22" s="812">
        <f t="shared" si="1"/>
        <v>117.91146578127503</v>
      </c>
      <c r="F22" s="812">
        <f t="shared" si="1"/>
        <v>155.79625668972145</v>
      </c>
      <c r="G22" s="812">
        <f t="shared" si="1"/>
        <v>0</v>
      </c>
      <c r="H22" s="812">
        <f t="shared" si="1"/>
        <v>59828.388074658229</v>
      </c>
      <c r="I22" s="812">
        <f t="shared" si="1"/>
        <v>13248.38583698458</v>
      </c>
      <c r="J22" s="812">
        <f t="shared" si="1"/>
        <v>0</v>
      </c>
      <c r="K22" s="812">
        <f t="shared" si="1"/>
        <v>0</v>
      </c>
      <c r="L22" s="812">
        <f t="shared" si="1"/>
        <v>0</v>
      </c>
      <c r="M22" s="812">
        <f t="shared" si="1"/>
        <v>0</v>
      </c>
      <c r="N22" s="812">
        <f t="shared" si="1"/>
        <v>3881.9715168454723</v>
      </c>
      <c r="O22" s="812">
        <f t="shared" si="1"/>
        <v>0</v>
      </c>
      <c r="P22" s="812">
        <f t="shared" si="1"/>
        <v>0</v>
      </c>
      <c r="Q22" s="812">
        <f t="shared" si="1"/>
        <v>0</v>
      </c>
      <c r="R22" s="812">
        <f t="shared" si="1"/>
        <v>77264.122232174035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1226.3405500000001</v>
      </c>
      <c r="D24" s="1013">
        <f>+landbouw!C8</f>
        <v>0</v>
      </c>
      <c r="E24" s="1013">
        <f>+landbouw!D8</f>
        <v>167.67368199999999</v>
      </c>
      <c r="F24" s="1013">
        <f>+landbouw!E8</f>
        <v>36.045894440871287</v>
      </c>
      <c r="G24" s="1013">
        <f>+landbouw!F8</f>
        <v>5108.8684633349294</v>
      </c>
      <c r="H24" s="1013">
        <f>+landbouw!G8</f>
        <v>0</v>
      </c>
      <c r="I24" s="1013">
        <f>+landbouw!H8</f>
        <v>0</v>
      </c>
      <c r="J24" s="1013">
        <f>+landbouw!I8</f>
        <v>0</v>
      </c>
      <c r="K24" s="1013">
        <f>+landbouw!J8</f>
        <v>177.67040973022395</v>
      </c>
      <c r="L24" s="1013">
        <f>+landbouw!K8</f>
        <v>0</v>
      </c>
      <c r="M24" s="1013">
        <f>+landbouw!L8</f>
        <v>0</v>
      </c>
      <c r="N24" s="1013">
        <f>+landbouw!M8</f>
        <v>0</v>
      </c>
      <c r="O24" s="1013">
        <f>+landbouw!N8</f>
        <v>0</v>
      </c>
      <c r="P24" s="1013">
        <f>+landbouw!O8</f>
        <v>0</v>
      </c>
      <c r="Q24" s="1014">
        <f>+landbouw!P8</f>
        <v>0</v>
      </c>
      <c r="R24" s="700">
        <f>SUM(C24:Q24)</f>
        <v>6716.5989995060245</v>
      </c>
      <c r="S24" s="67"/>
    </row>
    <row r="25" spans="1:19" s="473" customFormat="1" ht="15" thickBot="1">
      <c r="A25" s="831" t="s">
        <v>836</v>
      </c>
      <c r="B25" s="1016"/>
      <c r="C25" s="1017">
        <f>IF(Onbekend_ele_kWh="---",0,Onbekend_ele_kWh)/1000+IF(REST_rest_ele_kWh="---",0,REST_rest_ele_kWh)/1000</f>
        <v>820.82563500000003</v>
      </c>
      <c r="D25" s="1017"/>
      <c r="E25" s="1017">
        <f>IF(onbekend_gas_kWh="---",0,onbekend_gas_kWh)/1000+IF(REST_rest_gas_kWh="---",0,REST_rest_gas_kWh)/1000</f>
        <v>1254.6183999999998</v>
      </c>
      <c r="F25" s="1017"/>
      <c r="G25" s="1017"/>
      <c r="H25" s="1017"/>
      <c r="I25" s="1017"/>
      <c r="J25" s="1017"/>
      <c r="K25" s="1017"/>
      <c r="L25" s="1017"/>
      <c r="M25" s="1017"/>
      <c r="N25" s="1017"/>
      <c r="O25" s="1017"/>
      <c r="P25" s="1017"/>
      <c r="Q25" s="1018"/>
      <c r="R25" s="700">
        <f>SUM(C25:Q25)</f>
        <v>2075.444035</v>
      </c>
      <c r="S25" s="67"/>
    </row>
    <row r="26" spans="1:19" s="473" customFormat="1" ht="15.75" thickBot="1">
      <c r="A26" s="705" t="s">
        <v>837</v>
      </c>
      <c r="B26" s="817"/>
      <c r="C26" s="812">
        <f>SUM(C24:C25)</f>
        <v>2047.166185</v>
      </c>
      <c r="D26" s="812">
        <f t="shared" ref="D26:R26" si="2">SUM(D24:D25)</f>
        <v>0</v>
      </c>
      <c r="E26" s="812">
        <f t="shared" si="2"/>
        <v>1422.2920819999999</v>
      </c>
      <c r="F26" s="812">
        <f t="shared" si="2"/>
        <v>36.045894440871287</v>
      </c>
      <c r="G26" s="812">
        <f t="shared" si="2"/>
        <v>5108.8684633349294</v>
      </c>
      <c r="H26" s="812">
        <f t="shared" si="2"/>
        <v>0</v>
      </c>
      <c r="I26" s="812">
        <f t="shared" si="2"/>
        <v>0</v>
      </c>
      <c r="J26" s="812">
        <f t="shared" si="2"/>
        <v>0</v>
      </c>
      <c r="K26" s="812">
        <f t="shared" si="2"/>
        <v>177.67040973022395</v>
      </c>
      <c r="L26" s="812">
        <f t="shared" si="2"/>
        <v>0</v>
      </c>
      <c r="M26" s="812">
        <f t="shared" si="2"/>
        <v>0</v>
      </c>
      <c r="N26" s="812">
        <f t="shared" si="2"/>
        <v>0</v>
      </c>
      <c r="O26" s="812">
        <f t="shared" si="2"/>
        <v>0</v>
      </c>
      <c r="P26" s="812">
        <f t="shared" si="2"/>
        <v>0</v>
      </c>
      <c r="Q26" s="812">
        <f t="shared" si="2"/>
        <v>0</v>
      </c>
      <c r="R26" s="812">
        <f t="shared" si="2"/>
        <v>8792.0430345060249</v>
      </c>
      <c r="S26" s="67"/>
    </row>
    <row r="27" spans="1:19" s="473" customFormat="1" ht="17.25" thickTop="1" thickBot="1">
      <c r="A27" s="706" t="s">
        <v>116</v>
      </c>
      <c r="B27" s="805"/>
      <c r="C27" s="707">
        <f ca="1">C22+C16+C26</f>
        <v>44549.124250264205</v>
      </c>
      <c r="D27" s="707">
        <f t="shared" ref="D27:R27" ca="1" si="3">D22+D16+D26</f>
        <v>0</v>
      </c>
      <c r="E27" s="707">
        <f t="shared" ca="1" si="3"/>
        <v>48378.391620831273</v>
      </c>
      <c r="F27" s="707">
        <f t="shared" si="3"/>
        <v>5749.3288616149011</v>
      </c>
      <c r="G27" s="707">
        <f t="shared" ca="1" si="3"/>
        <v>38069.729203360155</v>
      </c>
      <c r="H27" s="707">
        <f t="shared" si="3"/>
        <v>59828.388074658229</v>
      </c>
      <c r="I27" s="707">
        <f t="shared" si="3"/>
        <v>13248.38583698458</v>
      </c>
      <c r="J27" s="707">
        <f t="shared" si="3"/>
        <v>0</v>
      </c>
      <c r="K27" s="707">
        <f t="shared" si="3"/>
        <v>178.96717126889749</v>
      </c>
      <c r="L27" s="707">
        <f t="shared" si="3"/>
        <v>0</v>
      </c>
      <c r="M27" s="707">
        <f t="shared" ca="1" si="3"/>
        <v>0</v>
      </c>
      <c r="N27" s="707">
        <f t="shared" si="3"/>
        <v>3881.9715168454723</v>
      </c>
      <c r="O27" s="707">
        <f t="shared" ca="1" si="3"/>
        <v>14878.084124593439</v>
      </c>
      <c r="P27" s="707">
        <f t="shared" si="3"/>
        <v>190.72666666666669</v>
      </c>
      <c r="Q27" s="707">
        <f t="shared" si="3"/>
        <v>1124.9333333333334</v>
      </c>
      <c r="R27" s="707">
        <f t="shared" ca="1" si="3"/>
        <v>230078.03066042115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3264.9676879176554</v>
      </c>
      <c r="D40" s="1013">
        <f ca="1">tertiair!C20</f>
        <v>0</v>
      </c>
      <c r="E40" s="1013">
        <f ca="1">tertiair!D20</f>
        <v>1812.5501460803002</v>
      </c>
      <c r="F40" s="1013">
        <f>tertiair!E20</f>
        <v>70.011747038201278</v>
      </c>
      <c r="G40" s="1013">
        <f ca="1">tertiair!F20</f>
        <v>736.4255417950327</v>
      </c>
      <c r="H40" s="1013">
        <f>tertiair!G20</f>
        <v>0</v>
      </c>
      <c r="I40" s="1013">
        <f>tertiair!H20</f>
        <v>0</v>
      </c>
      <c r="J40" s="1013">
        <f>tertiair!I20</f>
        <v>0</v>
      </c>
      <c r="K40" s="1013">
        <f>tertiair!J20</f>
        <v>1.1635412062491555E-2</v>
      </c>
      <c r="L40" s="1013">
        <f>tertiair!K20</f>
        <v>0</v>
      </c>
      <c r="M40" s="1013">
        <f ca="1">tertiair!L20</f>
        <v>0</v>
      </c>
      <c r="N40" s="1013">
        <f>tertiair!M20</f>
        <v>0</v>
      </c>
      <c r="O40" s="1013">
        <f ca="1">tertiair!N20</f>
        <v>0</v>
      </c>
      <c r="P40" s="1013">
        <f>tertiair!O20</f>
        <v>0</v>
      </c>
      <c r="Q40" s="774">
        <f>tertiair!P20</f>
        <v>0</v>
      </c>
      <c r="R40" s="850">
        <f t="shared" ca="1" si="4"/>
        <v>5883.9667582432521</v>
      </c>
    </row>
    <row r="41" spans="1:18">
      <c r="A41" s="822" t="s">
        <v>225</v>
      </c>
      <c r="B41" s="829"/>
      <c r="C41" s="1013">
        <f ca="1">huishoudens!B12</f>
        <v>4181.7246066132948</v>
      </c>
      <c r="D41" s="1013">
        <f ca="1">huishoudens!C12</f>
        <v>0</v>
      </c>
      <c r="E41" s="1013">
        <f>huishoudens!D12</f>
        <v>7283.4393494456008</v>
      </c>
      <c r="F41" s="1013">
        <f>huishoudens!E12</f>
        <v>1141.6536912020529</v>
      </c>
      <c r="G41" s="1013">
        <f>huishoudens!F12</f>
        <v>7856.3753013247169</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20463.192948585667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1035.9185594944001</v>
      </c>
      <c r="D43" s="1013">
        <f ca="1">industrie!C22</f>
        <v>0</v>
      </c>
      <c r="E43" s="1013">
        <f>industrie!D22</f>
        <v>365.32449523020006</v>
      </c>
      <c r="F43" s="1013">
        <f>industrie!E22</f>
        <v>49.88404503968394</v>
      </c>
      <c r="G43" s="1013">
        <f>industrie!F22</f>
        <v>207.74897446698461</v>
      </c>
      <c r="H43" s="1013">
        <f>industrie!G22</f>
        <v>0</v>
      </c>
      <c r="I43" s="1013">
        <f>industrie!H22</f>
        <v>0</v>
      </c>
      <c r="J43" s="1013">
        <f>industrie!I22</f>
        <v>0</v>
      </c>
      <c r="K43" s="1013">
        <f>industrie!J22</f>
        <v>0.44741817262794048</v>
      </c>
      <c r="L43" s="1013">
        <f>industrie!K22</f>
        <v>0</v>
      </c>
      <c r="M43" s="1013">
        <f>industrie!L22</f>
        <v>0</v>
      </c>
      <c r="N43" s="1013">
        <f>industrie!M22</f>
        <v>0</v>
      </c>
      <c r="O43" s="1013">
        <f>industrie!N22</f>
        <v>0</v>
      </c>
      <c r="P43" s="1013">
        <f>industrie!O22</f>
        <v>0</v>
      </c>
      <c r="Q43" s="774">
        <f>industrie!P22</f>
        <v>0</v>
      </c>
      <c r="R43" s="849">
        <f t="shared" ca="1" si="4"/>
        <v>1659.3234924038968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8482.6108540253517</v>
      </c>
      <c r="D46" s="732">
        <f t="shared" ref="D46:Q46" ca="1" si="5">SUM(D39:D45)</f>
        <v>0</v>
      </c>
      <c r="E46" s="732">
        <f t="shared" ca="1" si="5"/>
        <v>9461.3139907560999</v>
      </c>
      <c r="F46" s="732">
        <f t="shared" si="5"/>
        <v>1261.5494832799382</v>
      </c>
      <c r="G46" s="732">
        <f t="shared" ca="1" si="5"/>
        <v>8800.5498175867342</v>
      </c>
      <c r="H46" s="732">
        <f t="shared" si="5"/>
        <v>0</v>
      </c>
      <c r="I46" s="732">
        <f t="shared" si="5"/>
        <v>0</v>
      </c>
      <c r="J46" s="732">
        <f t="shared" si="5"/>
        <v>0</v>
      </c>
      <c r="K46" s="732">
        <f t="shared" si="5"/>
        <v>0.45905358469043206</v>
      </c>
      <c r="L46" s="732">
        <f t="shared" si="5"/>
        <v>0</v>
      </c>
      <c r="M46" s="732">
        <f t="shared" ca="1" si="5"/>
        <v>0</v>
      </c>
      <c r="N46" s="732">
        <f t="shared" si="5"/>
        <v>0</v>
      </c>
      <c r="O46" s="732">
        <f t="shared" ca="1" si="5"/>
        <v>0</v>
      </c>
      <c r="P46" s="732">
        <f t="shared" si="5"/>
        <v>0</v>
      </c>
      <c r="Q46" s="732">
        <f t="shared" si="5"/>
        <v>0</v>
      </c>
      <c r="R46" s="732">
        <f ca="1">SUM(R39:R45)</f>
        <v>28006.483199232815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712.64866647358917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712.64866647358917</v>
      </c>
    </row>
    <row r="50" spans="1:18">
      <c r="A50" s="825" t="s">
        <v>307</v>
      </c>
      <c r="B50" s="835"/>
      <c r="C50" s="703">
        <f ca="1">transport!B18</f>
        <v>6.3252805308248652</v>
      </c>
      <c r="D50" s="703">
        <f>transport!C18</f>
        <v>0</v>
      </c>
      <c r="E50" s="703">
        <f>transport!D18</f>
        <v>23.818116087817558</v>
      </c>
      <c r="F50" s="703">
        <f>transport!E18</f>
        <v>35.365750268566771</v>
      </c>
      <c r="G50" s="703">
        <f>transport!F18</f>
        <v>0</v>
      </c>
      <c r="H50" s="703">
        <f>transport!G18</f>
        <v>15261.530949460159</v>
      </c>
      <c r="I50" s="703">
        <f>transport!H18</f>
        <v>3298.8480734091604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18625.888169756527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6.3252805308248652</v>
      </c>
      <c r="D52" s="732">
        <f t="shared" ref="D52:Q52" ca="1" si="6">SUM(D48:D51)</f>
        <v>0</v>
      </c>
      <c r="E52" s="732">
        <f t="shared" si="6"/>
        <v>23.818116087817558</v>
      </c>
      <c r="F52" s="732">
        <f t="shared" si="6"/>
        <v>35.365750268566771</v>
      </c>
      <c r="G52" s="732">
        <f t="shared" si="6"/>
        <v>0</v>
      </c>
      <c r="H52" s="732">
        <f t="shared" si="6"/>
        <v>15974.179615933748</v>
      </c>
      <c r="I52" s="732">
        <f t="shared" si="6"/>
        <v>3298.8480734091604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19338.536836230116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244.93757657425664</v>
      </c>
      <c r="D54" s="703">
        <f ca="1">+landbouw!C12</f>
        <v>0</v>
      </c>
      <c r="E54" s="703">
        <f>+landbouw!D12</f>
        <v>33.870083764</v>
      </c>
      <c r="F54" s="703">
        <f>+landbouw!E12</f>
        <v>8.1824180380777829</v>
      </c>
      <c r="G54" s="703">
        <f>+landbouw!F12</f>
        <v>1364.0678797104263</v>
      </c>
      <c r="H54" s="703">
        <f>+landbouw!G12</f>
        <v>0</v>
      </c>
      <c r="I54" s="703">
        <f>+landbouw!H12</f>
        <v>0</v>
      </c>
      <c r="J54" s="703">
        <f>+landbouw!I12</f>
        <v>0</v>
      </c>
      <c r="K54" s="703">
        <f>+landbouw!J12</f>
        <v>62.895325044499273</v>
      </c>
      <c r="L54" s="703">
        <f>+landbouw!K12</f>
        <v>0</v>
      </c>
      <c r="M54" s="703">
        <f>+landbouw!L12</f>
        <v>0</v>
      </c>
      <c r="N54" s="703">
        <f>+landbouw!M12</f>
        <v>0</v>
      </c>
      <c r="O54" s="703">
        <f>+landbouw!N12</f>
        <v>0</v>
      </c>
      <c r="P54" s="703">
        <f>+landbouw!O12</f>
        <v>0</v>
      </c>
      <c r="Q54" s="704">
        <f>+landbouw!P12</f>
        <v>0</v>
      </c>
      <c r="R54" s="731">
        <f ca="1">SUM(C54:Q54)</f>
        <v>1713.9532831312599</v>
      </c>
    </row>
    <row r="55" spans="1:18" ht="15" thickBot="1">
      <c r="A55" s="825" t="s">
        <v>836</v>
      </c>
      <c r="B55" s="835"/>
      <c r="C55" s="703">
        <f ca="1">C25*'EF ele_warmte'!B12</f>
        <v>163.94389130076902</v>
      </c>
      <c r="D55" s="703"/>
      <c r="E55" s="703">
        <f>E25*EF_CO2_aardgas</f>
        <v>253.43291679999999</v>
      </c>
      <c r="F55" s="703"/>
      <c r="G55" s="703"/>
      <c r="H55" s="703"/>
      <c r="I55" s="703"/>
      <c r="J55" s="703"/>
      <c r="K55" s="703"/>
      <c r="L55" s="703"/>
      <c r="M55" s="703"/>
      <c r="N55" s="703"/>
      <c r="O55" s="703"/>
      <c r="P55" s="703"/>
      <c r="Q55" s="704"/>
      <c r="R55" s="731">
        <f ca="1">SUM(C55:Q55)</f>
        <v>417.37680810076904</v>
      </c>
    </row>
    <row r="56" spans="1:18" ht="15.75" thickBot="1">
      <c r="A56" s="823" t="s">
        <v>837</v>
      </c>
      <c r="B56" s="836"/>
      <c r="C56" s="732">
        <f ca="1">SUM(C54:C55)</f>
        <v>408.88146787502569</v>
      </c>
      <c r="D56" s="732">
        <f t="shared" ref="D56:Q56" ca="1" si="7">SUM(D54:D55)</f>
        <v>0</v>
      </c>
      <c r="E56" s="732">
        <f t="shared" si="7"/>
        <v>287.303000564</v>
      </c>
      <c r="F56" s="732">
        <f t="shared" si="7"/>
        <v>8.1824180380777829</v>
      </c>
      <c r="G56" s="732">
        <f t="shared" si="7"/>
        <v>1364.0678797104263</v>
      </c>
      <c r="H56" s="732">
        <f t="shared" si="7"/>
        <v>0</v>
      </c>
      <c r="I56" s="732">
        <f t="shared" si="7"/>
        <v>0</v>
      </c>
      <c r="J56" s="732">
        <f t="shared" si="7"/>
        <v>0</v>
      </c>
      <c r="K56" s="732">
        <f t="shared" si="7"/>
        <v>62.895325044499273</v>
      </c>
      <c r="L56" s="732">
        <f t="shared" si="7"/>
        <v>0</v>
      </c>
      <c r="M56" s="732">
        <f t="shared" si="7"/>
        <v>0</v>
      </c>
      <c r="N56" s="732">
        <f t="shared" si="7"/>
        <v>0</v>
      </c>
      <c r="O56" s="732">
        <f t="shared" si="7"/>
        <v>0</v>
      </c>
      <c r="P56" s="732">
        <f t="shared" si="7"/>
        <v>0</v>
      </c>
      <c r="Q56" s="733">
        <f t="shared" si="7"/>
        <v>0</v>
      </c>
      <c r="R56" s="734">
        <f ca="1">SUM(R54:R55)</f>
        <v>2131.3300912320292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8897.8176024312033</v>
      </c>
      <c r="D61" s="740">
        <f t="shared" ref="D61:Q61" ca="1" si="8">D46+D52+D56</f>
        <v>0</v>
      </c>
      <c r="E61" s="740">
        <f t="shared" ca="1" si="8"/>
        <v>9772.4351074079168</v>
      </c>
      <c r="F61" s="740">
        <f t="shared" si="8"/>
        <v>1305.0976515865825</v>
      </c>
      <c r="G61" s="740">
        <f t="shared" ca="1" si="8"/>
        <v>10164.617697297161</v>
      </c>
      <c r="H61" s="740">
        <f t="shared" si="8"/>
        <v>15974.179615933748</v>
      </c>
      <c r="I61" s="740">
        <f t="shared" si="8"/>
        <v>3298.8480734091604</v>
      </c>
      <c r="J61" s="740">
        <f t="shared" si="8"/>
        <v>0</v>
      </c>
      <c r="K61" s="740">
        <f t="shared" si="8"/>
        <v>63.354378629189704</v>
      </c>
      <c r="L61" s="740">
        <f t="shared" si="8"/>
        <v>0</v>
      </c>
      <c r="M61" s="740">
        <f t="shared" ca="1" si="8"/>
        <v>0</v>
      </c>
      <c r="N61" s="740">
        <f t="shared" si="8"/>
        <v>0</v>
      </c>
      <c r="O61" s="740">
        <f t="shared" ca="1" si="8"/>
        <v>0</v>
      </c>
      <c r="P61" s="740">
        <f t="shared" si="8"/>
        <v>0</v>
      </c>
      <c r="Q61" s="740">
        <f t="shared" si="8"/>
        <v>0</v>
      </c>
      <c r="R61" s="740">
        <f ca="1">R46+R52+R56</f>
        <v>49476.350126694961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0.19973047174722933</v>
      </c>
      <c r="D63" s="781">
        <f t="shared" ca="1" si="9"/>
        <v>0</v>
      </c>
      <c r="E63" s="1024">
        <f t="shared" ca="1" si="9"/>
        <v>0.20199999999999999</v>
      </c>
      <c r="F63" s="781">
        <f t="shared" si="9"/>
        <v>0.22699999999999998</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4287.506139715786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4287.506139715786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20936.83838040254</v>
      </c>
      <c r="C4" s="477">
        <f>huishoudens!C8</f>
        <v>0</v>
      </c>
      <c r="D4" s="477">
        <f>huishoudens!D8</f>
        <v>36056.6304428</v>
      </c>
      <c r="E4" s="477">
        <f>huishoudens!E8</f>
        <v>5029.3114149870171</v>
      </c>
      <c r="F4" s="477">
        <f>huishoudens!F8</f>
        <v>29424.626596721784</v>
      </c>
      <c r="G4" s="477">
        <f>huishoudens!G8</f>
        <v>0</v>
      </c>
      <c r="H4" s="477">
        <f>huishoudens!H8</f>
        <v>0</v>
      </c>
      <c r="I4" s="477">
        <f>huishoudens!I8</f>
        <v>0</v>
      </c>
      <c r="J4" s="477">
        <f>huishoudens!J8</f>
        <v>0</v>
      </c>
      <c r="K4" s="477">
        <f>huishoudens!K8</f>
        <v>0</v>
      </c>
      <c r="L4" s="477">
        <f>huishoudens!L8</f>
        <v>0</v>
      </c>
      <c r="M4" s="477">
        <f>huishoudens!M8</f>
        <v>0</v>
      </c>
      <c r="N4" s="477">
        <f>huishoudens!N8</f>
        <v>5768.1414397009421</v>
      </c>
      <c r="O4" s="477">
        <f>huishoudens!O8</f>
        <v>189.16333333333336</v>
      </c>
      <c r="P4" s="478">
        <f>huishoudens!P8</f>
        <v>1067.7333333333333</v>
      </c>
      <c r="Q4" s="479">
        <f>SUM(B4:P4)</f>
        <v>98472.44494127894</v>
      </c>
    </row>
    <row r="5" spans="1:17">
      <c r="A5" s="476" t="s">
        <v>156</v>
      </c>
      <c r="B5" s="477">
        <f ca="1">tertiair!B16</f>
        <v>15209.327153646907</v>
      </c>
      <c r="C5" s="477">
        <f ca="1">tertiair!C16</f>
        <v>0</v>
      </c>
      <c r="D5" s="477">
        <f ca="1">tertiair!D16</f>
        <v>8973.020525150001</v>
      </c>
      <c r="E5" s="477">
        <f>tertiair!E16</f>
        <v>308.42179311982943</v>
      </c>
      <c r="F5" s="477">
        <f ca="1">tertiair!F16</f>
        <v>2758.1480966106092</v>
      </c>
      <c r="G5" s="477">
        <f>tertiair!G16</f>
        <v>0</v>
      </c>
      <c r="H5" s="477">
        <f>tertiair!H16</f>
        <v>0</v>
      </c>
      <c r="I5" s="477">
        <f>tertiair!I16</f>
        <v>0</v>
      </c>
      <c r="J5" s="477">
        <f>tertiair!J16</f>
        <v>3.2868395656755804E-2</v>
      </c>
      <c r="K5" s="477">
        <f>tertiair!K16</f>
        <v>0</v>
      </c>
      <c r="L5" s="477">
        <f ca="1">tertiair!L16</f>
        <v>0</v>
      </c>
      <c r="M5" s="477">
        <f>tertiair!M16</f>
        <v>0</v>
      </c>
      <c r="N5" s="477">
        <f ca="1">tertiair!N16</f>
        <v>1309.0150218336089</v>
      </c>
      <c r="O5" s="477">
        <f>tertiair!O16</f>
        <v>1.5633333333333335</v>
      </c>
      <c r="P5" s="478">
        <f>tertiair!P16</f>
        <v>57.2</v>
      </c>
      <c r="Q5" s="476">
        <f t="shared" ref="Q5:Q14" ca="1" si="0">SUM(B5:P5)</f>
        <v>28616.728792089947</v>
      </c>
    </row>
    <row r="6" spans="1:17">
      <c r="A6" s="476" t="s">
        <v>194</v>
      </c>
      <c r="B6" s="477">
        <f>'openbare verlichting'!B8</f>
        <v>1137.5409999999999</v>
      </c>
      <c r="C6" s="477"/>
      <c r="D6" s="477"/>
      <c r="E6" s="477"/>
      <c r="F6" s="477"/>
      <c r="G6" s="477"/>
      <c r="H6" s="477"/>
      <c r="I6" s="477"/>
      <c r="J6" s="477"/>
      <c r="K6" s="477"/>
      <c r="L6" s="477"/>
      <c r="M6" s="477"/>
      <c r="N6" s="477"/>
      <c r="O6" s="477"/>
      <c r="P6" s="478"/>
      <c r="Q6" s="476">
        <f t="shared" si="0"/>
        <v>1137.5409999999999</v>
      </c>
    </row>
    <row r="7" spans="1:17">
      <c r="A7" s="476" t="s">
        <v>112</v>
      </c>
      <c r="B7" s="477">
        <f>landbouw!B8</f>
        <v>1226.3405500000001</v>
      </c>
      <c r="C7" s="477">
        <f>landbouw!C8</f>
        <v>0</v>
      </c>
      <c r="D7" s="477">
        <f>landbouw!D8</f>
        <v>167.67368199999999</v>
      </c>
      <c r="E7" s="477">
        <f>landbouw!E8</f>
        <v>36.045894440871287</v>
      </c>
      <c r="F7" s="477">
        <f>landbouw!F8</f>
        <v>5108.8684633349294</v>
      </c>
      <c r="G7" s="477">
        <f>landbouw!G8</f>
        <v>0</v>
      </c>
      <c r="H7" s="477">
        <f>landbouw!H8</f>
        <v>0</v>
      </c>
      <c r="I7" s="477">
        <f>landbouw!I8</f>
        <v>0</v>
      </c>
      <c r="J7" s="477">
        <f>landbouw!J8</f>
        <v>177.67040973022395</v>
      </c>
      <c r="K7" s="477">
        <f>landbouw!K8</f>
        <v>0</v>
      </c>
      <c r="L7" s="477">
        <f>landbouw!L8</f>
        <v>0</v>
      </c>
      <c r="M7" s="477">
        <f>landbouw!M8</f>
        <v>0</v>
      </c>
      <c r="N7" s="477">
        <f>landbouw!N8</f>
        <v>0</v>
      </c>
      <c r="O7" s="477">
        <f>landbouw!O8</f>
        <v>0</v>
      </c>
      <c r="P7" s="478">
        <f>landbouw!P8</f>
        <v>0</v>
      </c>
      <c r="Q7" s="476">
        <f t="shared" si="0"/>
        <v>6716.5989995060245</v>
      </c>
    </row>
    <row r="8" spans="1:17">
      <c r="A8" s="476" t="s">
        <v>635</v>
      </c>
      <c r="B8" s="477">
        <f>industrie!B18</f>
        <v>5186.5824499999999</v>
      </c>
      <c r="C8" s="477">
        <f>industrie!C18</f>
        <v>0</v>
      </c>
      <c r="D8" s="477">
        <f>industrie!D18</f>
        <v>1808.5371051000002</v>
      </c>
      <c r="E8" s="477">
        <f>industrie!E18</f>
        <v>219.75350237746227</v>
      </c>
      <c r="F8" s="477">
        <f>industrie!F18</f>
        <v>778.08604669282624</v>
      </c>
      <c r="G8" s="477">
        <f>industrie!G18</f>
        <v>0</v>
      </c>
      <c r="H8" s="477">
        <f>industrie!H18</f>
        <v>0</v>
      </c>
      <c r="I8" s="477">
        <f>industrie!I18</f>
        <v>0</v>
      </c>
      <c r="J8" s="477">
        <f>industrie!J18</f>
        <v>1.263893143016781</v>
      </c>
      <c r="K8" s="477">
        <f>industrie!K18</f>
        <v>0</v>
      </c>
      <c r="L8" s="477">
        <f>industrie!L18</f>
        <v>0</v>
      </c>
      <c r="M8" s="477">
        <f>industrie!M18</f>
        <v>0</v>
      </c>
      <c r="N8" s="477">
        <f>industrie!N18</f>
        <v>7800.9276630588884</v>
      </c>
      <c r="O8" s="477">
        <f>industrie!O18</f>
        <v>0</v>
      </c>
      <c r="P8" s="478">
        <f>industrie!P18</f>
        <v>0</v>
      </c>
      <c r="Q8" s="476">
        <f t="shared" si="0"/>
        <v>15795.150660372194</v>
      </c>
    </row>
    <row r="9" spans="1:17" s="482" customFormat="1">
      <c r="A9" s="480" t="s">
        <v>561</v>
      </c>
      <c r="B9" s="481">
        <f>transport!B14</f>
        <v>31.669081214757664</v>
      </c>
      <c r="C9" s="481">
        <f>transport!C14</f>
        <v>0</v>
      </c>
      <c r="D9" s="481">
        <f>transport!D14</f>
        <v>117.91146578127503</v>
      </c>
      <c r="E9" s="481">
        <f>transport!E14</f>
        <v>155.79625668972145</v>
      </c>
      <c r="F9" s="481">
        <f>transport!F14</f>
        <v>0</v>
      </c>
      <c r="G9" s="481">
        <f>transport!G14</f>
        <v>57159.291945543664</v>
      </c>
      <c r="H9" s="481">
        <f>transport!H14</f>
        <v>13248.38583698458</v>
      </c>
      <c r="I9" s="481">
        <f>transport!I14</f>
        <v>0</v>
      </c>
      <c r="J9" s="481">
        <f>transport!J14</f>
        <v>0</v>
      </c>
      <c r="K9" s="481">
        <f>transport!K14</f>
        <v>0</v>
      </c>
      <c r="L9" s="481">
        <f>transport!L14</f>
        <v>0</v>
      </c>
      <c r="M9" s="481">
        <f>transport!M14</f>
        <v>3730.3786396405048</v>
      </c>
      <c r="N9" s="481">
        <f>transport!N14</f>
        <v>0</v>
      </c>
      <c r="O9" s="481">
        <f>transport!O14</f>
        <v>0</v>
      </c>
      <c r="P9" s="481">
        <f>transport!P14</f>
        <v>0</v>
      </c>
      <c r="Q9" s="480">
        <f>SUM(B9:P9)</f>
        <v>74443.433225854504</v>
      </c>
    </row>
    <row r="10" spans="1:17">
      <c r="A10" s="476" t="s">
        <v>551</v>
      </c>
      <c r="B10" s="477">
        <f>transport!B54</f>
        <v>0</v>
      </c>
      <c r="C10" s="477">
        <f>transport!C54</f>
        <v>0</v>
      </c>
      <c r="D10" s="477">
        <f>transport!D54</f>
        <v>0</v>
      </c>
      <c r="E10" s="477">
        <f>transport!E54</f>
        <v>0</v>
      </c>
      <c r="F10" s="477">
        <f>transport!F54</f>
        <v>0</v>
      </c>
      <c r="G10" s="477">
        <f>transport!G54</f>
        <v>2669.0961291145659</v>
      </c>
      <c r="H10" s="477">
        <f>transport!H54</f>
        <v>0</v>
      </c>
      <c r="I10" s="477">
        <f>transport!I54</f>
        <v>0</v>
      </c>
      <c r="J10" s="477">
        <f>transport!J54</f>
        <v>0</v>
      </c>
      <c r="K10" s="477">
        <f>transport!K54</f>
        <v>0</v>
      </c>
      <c r="L10" s="477">
        <f>transport!L54</f>
        <v>0</v>
      </c>
      <c r="M10" s="477">
        <f>transport!M54</f>
        <v>151.59287720496761</v>
      </c>
      <c r="N10" s="477">
        <f>transport!N54</f>
        <v>0</v>
      </c>
      <c r="O10" s="477">
        <f>transport!O54</f>
        <v>0</v>
      </c>
      <c r="P10" s="478">
        <f>transport!P54</f>
        <v>0</v>
      </c>
      <c r="Q10" s="476">
        <f t="shared" si="0"/>
        <v>2820.6890063195333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820.82563500000003</v>
      </c>
      <c r="C14" s="484"/>
      <c r="D14" s="484">
        <f>'SEAP template'!E25</f>
        <v>1254.6183999999998</v>
      </c>
      <c r="E14" s="484"/>
      <c r="F14" s="484"/>
      <c r="G14" s="484"/>
      <c r="H14" s="484"/>
      <c r="I14" s="484"/>
      <c r="J14" s="484"/>
      <c r="K14" s="484"/>
      <c r="L14" s="484"/>
      <c r="M14" s="484"/>
      <c r="N14" s="484"/>
      <c r="O14" s="484"/>
      <c r="P14" s="485"/>
      <c r="Q14" s="476">
        <f t="shared" si="0"/>
        <v>2075.444035</v>
      </c>
    </row>
    <row r="15" spans="1:17" s="486" customFormat="1">
      <c r="A15" s="1039" t="s">
        <v>555</v>
      </c>
      <c r="B15" s="987">
        <f ca="1">SUM(B4:B14)</f>
        <v>44549.124250264205</v>
      </c>
      <c r="C15" s="987">
        <f t="shared" ref="C15:Q15" ca="1" si="1">SUM(C4:C14)</f>
        <v>0</v>
      </c>
      <c r="D15" s="987">
        <f t="shared" ca="1" si="1"/>
        <v>48378.39162083128</v>
      </c>
      <c r="E15" s="987">
        <f t="shared" si="1"/>
        <v>5749.3288616149011</v>
      </c>
      <c r="F15" s="987">
        <f t="shared" ca="1" si="1"/>
        <v>38069.729203360155</v>
      </c>
      <c r="G15" s="987">
        <f t="shared" si="1"/>
        <v>59828.388074658229</v>
      </c>
      <c r="H15" s="987">
        <f t="shared" si="1"/>
        <v>13248.38583698458</v>
      </c>
      <c r="I15" s="987">
        <f t="shared" si="1"/>
        <v>0</v>
      </c>
      <c r="J15" s="987">
        <f t="shared" si="1"/>
        <v>178.96717126889749</v>
      </c>
      <c r="K15" s="987">
        <f t="shared" si="1"/>
        <v>0</v>
      </c>
      <c r="L15" s="987">
        <f t="shared" ca="1" si="1"/>
        <v>0</v>
      </c>
      <c r="M15" s="987">
        <f t="shared" si="1"/>
        <v>3881.9715168454723</v>
      </c>
      <c r="N15" s="987">
        <f t="shared" ca="1" si="1"/>
        <v>14878.084124593439</v>
      </c>
      <c r="O15" s="987">
        <f t="shared" si="1"/>
        <v>190.72666666666669</v>
      </c>
      <c r="P15" s="987">
        <f t="shared" si="1"/>
        <v>1124.9333333333334</v>
      </c>
      <c r="Q15" s="987">
        <f t="shared" ca="1" si="1"/>
        <v>230078.03066042115</v>
      </c>
    </row>
    <row r="17" spans="1:17">
      <c r="A17" s="487" t="s">
        <v>556</v>
      </c>
      <c r="B17" s="786">
        <f ca="1">huishoudens!B10</f>
        <v>0.19973047174722927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4181.7246066132948</v>
      </c>
      <c r="C22" s="477">
        <f t="shared" ref="C22:C32" ca="1" si="3">C4*$C$17</f>
        <v>0</v>
      </c>
      <c r="D22" s="477">
        <f t="shared" ref="D22:D32" si="4">D4*$D$17</f>
        <v>7283.4393494456008</v>
      </c>
      <c r="E22" s="477">
        <f t="shared" ref="E22:E32" si="5">E4*$E$17</f>
        <v>1141.6536912020529</v>
      </c>
      <c r="F22" s="477">
        <f t="shared" ref="F22:F32" si="6">F4*$F$17</f>
        <v>7856.3753013247169</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20463.192948585667</v>
      </c>
    </row>
    <row r="23" spans="1:17">
      <c r="A23" s="476" t="s">
        <v>156</v>
      </c>
      <c r="B23" s="477">
        <f t="shared" ca="1" si="2"/>
        <v>3037.7660873558407</v>
      </c>
      <c r="C23" s="477">
        <f t="shared" ca="1" si="3"/>
        <v>0</v>
      </c>
      <c r="D23" s="477">
        <f t="shared" ca="1" si="4"/>
        <v>1812.5501460803002</v>
      </c>
      <c r="E23" s="477">
        <f t="shared" si="5"/>
        <v>70.011747038201278</v>
      </c>
      <c r="F23" s="477">
        <f t="shared" ca="1" si="6"/>
        <v>736.4255417950327</v>
      </c>
      <c r="G23" s="477">
        <f t="shared" si="7"/>
        <v>0</v>
      </c>
      <c r="H23" s="477">
        <f t="shared" si="8"/>
        <v>0</v>
      </c>
      <c r="I23" s="477">
        <f t="shared" si="9"/>
        <v>0</v>
      </c>
      <c r="J23" s="477">
        <f t="shared" si="10"/>
        <v>1.1635412062491555E-2</v>
      </c>
      <c r="K23" s="477">
        <f t="shared" si="11"/>
        <v>0</v>
      </c>
      <c r="L23" s="477">
        <f t="shared" ca="1" si="12"/>
        <v>0</v>
      </c>
      <c r="M23" s="477">
        <f t="shared" si="13"/>
        <v>0</v>
      </c>
      <c r="N23" s="477">
        <f t="shared" ca="1" si="14"/>
        <v>0</v>
      </c>
      <c r="O23" s="477">
        <f t="shared" si="15"/>
        <v>0</v>
      </c>
      <c r="P23" s="478">
        <f t="shared" si="16"/>
        <v>0</v>
      </c>
      <c r="Q23" s="476">
        <f t="shared" ref="Q23:Q32" ca="1" si="17">SUM(B23:P23)</f>
        <v>5656.7651576814369</v>
      </c>
    </row>
    <row r="24" spans="1:17">
      <c r="A24" s="476" t="s">
        <v>194</v>
      </c>
      <c r="B24" s="477">
        <f t="shared" ca="1" si="2"/>
        <v>227.20160056181493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227.20160056181493</v>
      </c>
    </row>
    <row r="25" spans="1:17">
      <c r="A25" s="476" t="s">
        <v>112</v>
      </c>
      <c r="B25" s="477">
        <f t="shared" ca="1" si="2"/>
        <v>244.93757657425664</v>
      </c>
      <c r="C25" s="477">
        <f t="shared" ca="1" si="3"/>
        <v>0</v>
      </c>
      <c r="D25" s="477">
        <f t="shared" si="4"/>
        <v>33.870083764</v>
      </c>
      <c r="E25" s="477">
        <f t="shared" si="5"/>
        <v>8.1824180380777829</v>
      </c>
      <c r="F25" s="477">
        <f t="shared" si="6"/>
        <v>1364.0678797104263</v>
      </c>
      <c r="G25" s="477">
        <f t="shared" si="7"/>
        <v>0</v>
      </c>
      <c r="H25" s="477">
        <f t="shared" si="8"/>
        <v>0</v>
      </c>
      <c r="I25" s="477">
        <f t="shared" si="9"/>
        <v>0</v>
      </c>
      <c r="J25" s="477">
        <f t="shared" si="10"/>
        <v>62.895325044499273</v>
      </c>
      <c r="K25" s="477">
        <f t="shared" si="11"/>
        <v>0</v>
      </c>
      <c r="L25" s="477">
        <f t="shared" si="12"/>
        <v>0</v>
      </c>
      <c r="M25" s="477">
        <f t="shared" si="13"/>
        <v>0</v>
      </c>
      <c r="N25" s="477">
        <f t="shared" si="14"/>
        <v>0</v>
      </c>
      <c r="O25" s="477">
        <f t="shared" si="15"/>
        <v>0</v>
      </c>
      <c r="P25" s="478">
        <f t="shared" si="16"/>
        <v>0</v>
      </c>
      <c r="Q25" s="476">
        <f t="shared" ca="1" si="17"/>
        <v>1713.9532831312599</v>
      </c>
    </row>
    <row r="26" spans="1:17">
      <c r="A26" s="476" t="s">
        <v>635</v>
      </c>
      <c r="B26" s="477">
        <f t="shared" ca="1" si="2"/>
        <v>1035.9185594944001</v>
      </c>
      <c r="C26" s="477">
        <f t="shared" ca="1" si="3"/>
        <v>0</v>
      </c>
      <c r="D26" s="477">
        <f t="shared" si="4"/>
        <v>365.32449523020006</v>
      </c>
      <c r="E26" s="477">
        <f t="shared" si="5"/>
        <v>49.88404503968394</v>
      </c>
      <c r="F26" s="477">
        <f t="shared" si="6"/>
        <v>207.74897446698461</v>
      </c>
      <c r="G26" s="477">
        <f t="shared" si="7"/>
        <v>0</v>
      </c>
      <c r="H26" s="477">
        <f t="shared" si="8"/>
        <v>0</v>
      </c>
      <c r="I26" s="477">
        <f t="shared" si="9"/>
        <v>0</v>
      </c>
      <c r="J26" s="477">
        <f t="shared" si="10"/>
        <v>0.44741817262794048</v>
      </c>
      <c r="K26" s="477">
        <f t="shared" si="11"/>
        <v>0</v>
      </c>
      <c r="L26" s="477">
        <f t="shared" si="12"/>
        <v>0</v>
      </c>
      <c r="M26" s="477">
        <f t="shared" si="13"/>
        <v>0</v>
      </c>
      <c r="N26" s="477">
        <f t="shared" si="14"/>
        <v>0</v>
      </c>
      <c r="O26" s="477">
        <f t="shared" si="15"/>
        <v>0</v>
      </c>
      <c r="P26" s="478">
        <f t="shared" si="16"/>
        <v>0</v>
      </c>
      <c r="Q26" s="476">
        <f t="shared" ca="1" si="17"/>
        <v>1659.3234924038968</v>
      </c>
    </row>
    <row r="27" spans="1:17" s="482" customFormat="1">
      <c r="A27" s="480" t="s">
        <v>561</v>
      </c>
      <c r="B27" s="780">
        <f t="shared" ca="1" si="2"/>
        <v>6.3252805308248652</v>
      </c>
      <c r="C27" s="481">
        <f t="shared" ca="1" si="3"/>
        <v>0</v>
      </c>
      <c r="D27" s="481">
        <f t="shared" si="4"/>
        <v>23.818116087817558</v>
      </c>
      <c r="E27" s="481">
        <f t="shared" si="5"/>
        <v>35.365750268566771</v>
      </c>
      <c r="F27" s="481">
        <f t="shared" si="6"/>
        <v>0</v>
      </c>
      <c r="G27" s="481">
        <f t="shared" si="7"/>
        <v>15261.530949460159</v>
      </c>
      <c r="H27" s="481">
        <f t="shared" si="8"/>
        <v>3298.8480734091604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18625.888169756527</v>
      </c>
    </row>
    <row r="28" spans="1:17">
      <c r="A28" s="476" t="s">
        <v>551</v>
      </c>
      <c r="B28" s="477">
        <f t="shared" ca="1" si="2"/>
        <v>0</v>
      </c>
      <c r="C28" s="477">
        <f t="shared" ca="1" si="3"/>
        <v>0</v>
      </c>
      <c r="D28" s="477">
        <f t="shared" si="4"/>
        <v>0</v>
      </c>
      <c r="E28" s="477">
        <f t="shared" si="5"/>
        <v>0</v>
      </c>
      <c r="F28" s="477">
        <f t="shared" si="6"/>
        <v>0</v>
      </c>
      <c r="G28" s="477">
        <f t="shared" si="7"/>
        <v>712.64866647358917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712.64866647358917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163.94389130076902</v>
      </c>
      <c r="C32" s="477">
        <f t="shared" ca="1" si="3"/>
        <v>0</v>
      </c>
      <c r="D32" s="477">
        <f t="shared" si="4"/>
        <v>253.43291679999999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417.37680810076904</v>
      </c>
    </row>
    <row r="33" spans="1:17" s="486" customFormat="1">
      <c r="A33" s="1039" t="s">
        <v>555</v>
      </c>
      <c r="B33" s="987">
        <f ca="1">SUM(B22:B32)</f>
        <v>8897.8176024312015</v>
      </c>
      <c r="C33" s="987">
        <f t="shared" ref="C33:Q33" ca="1" si="18">SUM(C22:C32)</f>
        <v>0</v>
      </c>
      <c r="D33" s="987">
        <f t="shared" ca="1" si="18"/>
        <v>9772.4351074079186</v>
      </c>
      <c r="E33" s="987">
        <f t="shared" si="18"/>
        <v>1305.0976515865825</v>
      </c>
      <c r="F33" s="987">
        <f t="shared" ca="1" si="18"/>
        <v>10164.617697297161</v>
      </c>
      <c r="G33" s="987">
        <f t="shared" si="18"/>
        <v>15974.179615933748</v>
      </c>
      <c r="H33" s="987">
        <f t="shared" si="18"/>
        <v>3298.8480734091604</v>
      </c>
      <c r="I33" s="987">
        <f t="shared" si="18"/>
        <v>0</v>
      </c>
      <c r="J33" s="987">
        <f t="shared" si="18"/>
        <v>63.354378629189704</v>
      </c>
      <c r="K33" s="987">
        <f t="shared" si="18"/>
        <v>0</v>
      </c>
      <c r="L33" s="987">
        <f t="shared" ca="1" si="18"/>
        <v>0</v>
      </c>
      <c r="M33" s="987">
        <f t="shared" si="18"/>
        <v>0</v>
      </c>
      <c r="N33" s="987">
        <f t="shared" ca="1" si="18"/>
        <v>0</v>
      </c>
      <c r="O33" s="987">
        <f t="shared" si="18"/>
        <v>0</v>
      </c>
      <c r="P33" s="987">
        <f t="shared" si="18"/>
        <v>0</v>
      </c>
      <c r="Q33" s="987">
        <f t="shared" ca="1" si="18"/>
        <v>49476.350126694953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4287.506139715786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4287.506139715786</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0.19973047174722927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0.19973047174722927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0.19973047174722927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0.19973047174722927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4637</v>
      </c>
      <c r="C9" s="342">
        <v>4633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1422.92</v>
      </c>
    </row>
    <row r="15" spans="1:6">
      <c r="A15" s="348" t="s">
        <v>184</v>
      </c>
      <c r="B15" s="334">
        <v>1</v>
      </c>
    </row>
    <row r="16" spans="1:6">
      <c r="A16" s="348" t="s">
        <v>6</v>
      </c>
      <c r="B16" s="334">
        <v>0</v>
      </c>
    </row>
    <row r="17" spans="1:6">
      <c r="A17" s="348" t="s">
        <v>7</v>
      </c>
      <c r="B17" s="334">
        <v>45</v>
      </c>
    </row>
    <row r="18" spans="1:6">
      <c r="A18" s="348" t="s">
        <v>8</v>
      </c>
      <c r="B18" s="334">
        <v>36</v>
      </c>
    </row>
    <row r="19" spans="1:6">
      <c r="A19" s="348" t="s">
        <v>9</v>
      </c>
      <c r="B19" s="334">
        <v>46</v>
      </c>
    </row>
    <row r="20" spans="1:6">
      <c r="A20" s="348" t="s">
        <v>10</v>
      </c>
      <c r="B20" s="334">
        <v>22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42</v>
      </c>
    </row>
    <row r="27" spans="1:6">
      <c r="A27" s="348" t="s">
        <v>17</v>
      </c>
      <c r="B27" s="334">
        <v>0</v>
      </c>
    </row>
    <row r="28" spans="1:6" s="356" customFormat="1">
      <c r="A28" s="355" t="s">
        <v>18</v>
      </c>
      <c r="B28" s="355">
        <v>0</v>
      </c>
    </row>
    <row r="29" spans="1:6">
      <c r="A29" s="355" t="s">
        <v>744</v>
      </c>
      <c r="B29" s="355">
        <v>151</v>
      </c>
      <c r="C29" s="356"/>
      <c r="D29" s="356"/>
      <c r="E29" s="356"/>
      <c r="F29" s="356"/>
    </row>
    <row r="30" spans="1:6">
      <c r="A30" s="341" t="s">
        <v>745</v>
      </c>
      <c r="B30" s="341">
        <v>26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20276</v>
      </c>
    </row>
    <row r="39" spans="1:6">
      <c r="A39" s="348" t="s">
        <v>30</v>
      </c>
      <c r="B39" s="348" t="s">
        <v>31</v>
      </c>
      <c r="C39" s="334">
        <v>2307</v>
      </c>
      <c r="D39" s="334">
        <v>39974091.399999999</v>
      </c>
      <c r="E39" s="334">
        <v>4592</v>
      </c>
      <c r="F39" s="334">
        <v>18088523.720318668</v>
      </c>
    </row>
    <row r="40" spans="1:6">
      <c r="A40" s="348" t="s">
        <v>30</v>
      </c>
      <c r="B40" s="348" t="s">
        <v>29</v>
      </c>
      <c r="C40" s="334">
        <v>0</v>
      </c>
      <c r="D40" s="334">
        <v>0</v>
      </c>
      <c r="E40" s="334">
        <v>0</v>
      </c>
      <c r="F40" s="334">
        <v>0</v>
      </c>
    </row>
    <row r="41" spans="1:6">
      <c r="A41" s="348" t="s">
        <v>32</v>
      </c>
      <c r="B41" s="348" t="s">
        <v>33</v>
      </c>
      <c r="C41" s="334">
        <v>33</v>
      </c>
      <c r="D41" s="334">
        <v>613883</v>
      </c>
      <c r="E41" s="334">
        <v>104</v>
      </c>
      <c r="F41" s="334">
        <v>655387.80000000005</v>
      </c>
    </row>
    <row r="42" spans="1:6">
      <c r="A42" s="348" t="s">
        <v>32</v>
      </c>
      <c r="B42" s="348" t="s">
        <v>34</v>
      </c>
      <c r="C42" s="334">
        <v>0</v>
      </c>
      <c r="D42" s="334">
        <v>0</v>
      </c>
      <c r="E42" s="334">
        <v>4</v>
      </c>
      <c r="F42" s="334">
        <v>11857</v>
      </c>
    </row>
    <row r="43" spans="1:6">
      <c r="A43" s="348" t="s">
        <v>32</v>
      </c>
      <c r="B43" s="348" t="s">
        <v>35</v>
      </c>
      <c r="C43" s="334">
        <v>0</v>
      </c>
      <c r="D43" s="334">
        <v>0</v>
      </c>
      <c r="E43" s="334">
        <v>0</v>
      </c>
      <c r="F43" s="334">
        <v>0</v>
      </c>
    </row>
    <row r="44" spans="1:6">
      <c r="A44" s="348" t="s">
        <v>32</v>
      </c>
      <c r="B44" s="348" t="s">
        <v>36</v>
      </c>
      <c r="C44" s="334">
        <v>6</v>
      </c>
      <c r="D44" s="334">
        <v>438979.7</v>
      </c>
      <c r="E44" s="334">
        <v>22</v>
      </c>
      <c r="F44" s="334">
        <v>1062387.8500000001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2569922</v>
      </c>
    </row>
    <row r="48" spans="1:6">
      <c r="A48" s="348" t="s">
        <v>32</v>
      </c>
      <c r="B48" s="348" t="s">
        <v>29</v>
      </c>
      <c r="C48" s="334">
        <v>5</v>
      </c>
      <c r="D48" s="334">
        <v>952167.35</v>
      </c>
      <c r="E48" s="334">
        <v>3</v>
      </c>
      <c r="F48" s="334">
        <v>242021</v>
      </c>
    </row>
    <row r="49" spans="1:6">
      <c r="A49" s="348" t="s">
        <v>32</v>
      </c>
      <c r="B49" s="348" t="s">
        <v>40</v>
      </c>
      <c r="C49" s="334">
        <v>0</v>
      </c>
      <c r="D49" s="334">
        <v>0</v>
      </c>
      <c r="E49" s="334">
        <v>0</v>
      </c>
      <c r="F49" s="334">
        <v>0</v>
      </c>
    </row>
    <row r="50" spans="1:6">
      <c r="A50" s="348" t="s">
        <v>32</v>
      </c>
      <c r="B50" s="348" t="s">
        <v>41</v>
      </c>
      <c r="C50" s="334">
        <v>0</v>
      </c>
      <c r="D50" s="334">
        <v>0</v>
      </c>
      <c r="E50" s="334">
        <v>6</v>
      </c>
      <c r="F50" s="334">
        <v>645006.80000000005</v>
      </c>
    </row>
    <row r="51" spans="1:6">
      <c r="A51" s="348" t="s">
        <v>42</v>
      </c>
      <c r="B51" s="348" t="s">
        <v>43</v>
      </c>
      <c r="C51" s="334">
        <v>6</v>
      </c>
      <c r="D51" s="334">
        <v>185891</v>
      </c>
      <c r="E51" s="334">
        <v>42</v>
      </c>
      <c r="F51" s="334">
        <v>1226340.55</v>
      </c>
    </row>
    <row r="52" spans="1:6">
      <c r="A52" s="348" t="s">
        <v>42</v>
      </c>
      <c r="B52" s="348" t="s">
        <v>29</v>
      </c>
      <c r="C52" s="334">
        <v>0</v>
      </c>
      <c r="D52" s="334">
        <v>0</v>
      </c>
      <c r="E52" s="334">
        <v>0</v>
      </c>
      <c r="F52" s="334">
        <v>0</v>
      </c>
    </row>
    <row r="53" spans="1:6">
      <c r="A53" s="348" t="s">
        <v>44</v>
      </c>
      <c r="B53" s="348" t="s">
        <v>45</v>
      </c>
      <c r="C53" s="334">
        <v>34</v>
      </c>
      <c r="D53" s="334">
        <v>1254618.3999999999</v>
      </c>
      <c r="E53" s="334">
        <v>84</v>
      </c>
      <c r="F53" s="334">
        <v>820825.63500000001</v>
      </c>
    </row>
    <row r="54" spans="1:6">
      <c r="A54" s="348" t="s">
        <v>46</v>
      </c>
      <c r="B54" s="348" t="s">
        <v>47</v>
      </c>
      <c r="C54" s="334">
        <v>0</v>
      </c>
      <c r="D54" s="334">
        <v>0</v>
      </c>
      <c r="E54" s="334">
        <v>1</v>
      </c>
      <c r="F54" s="334">
        <v>1137541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641650</v>
      </c>
      <c r="E57" s="334">
        <v>56</v>
      </c>
      <c r="F57" s="334">
        <v>1510298.1540000001</v>
      </c>
    </row>
    <row r="58" spans="1:6">
      <c r="A58" s="348" t="s">
        <v>49</v>
      </c>
      <c r="B58" s="348" t="s">
        <v>51</v>
      </c>
      <c r="C58" s="334">
        <v>18</v>
      </c>
      <c r="D58" s="334">
        <v>1619166.425</v>
      </c>
      <c r="E58" s="334">
        <v>27</v>
      </c>
      <c r="F58" s="334">
        <v>509802.55</v>
      </c>
    </row>
    <row r="59" spans="1:6">
      <c r="A59" s="348" t="s">
        <v>49</v>
      </c>
      <c r="B59" s="348" t="s">
        <v>52</v>
      </c>
      <c r="C59" s="334">
        <v>50</v>
      </c>
      <c r="D59" s="334">
        <v>1826495</v>
      </c>
      <c r="E59" s="334">
        <v>190</v>
      </c>
      <c r="F59" s="334">
        <v>7893978.9000000004</v>
      </c>
    </row>
    <row r="60" spans="1:6">
      <c r="A60" s="348" t="s">
        <v>49</v>
      </c>
      <c r="B60" s="348" t="s">
        <v>53</v>
      </c>
      <c r="C60" s="334">
        <v>18</v>
      </c>
      <c r="D60" s="334">
        <v>731568</v>
      </c>
      <c r="E60" s="334">
        <v>42</v>
      </c>
      <c r="F60" s="334">
        <v>1320769</v>
      </c>
    </row>
    <row r="61" spans="1:6">
      <c r="A61" s="348" t="s">
        <v>49</v>
      </c>
      <c r="B61" s="348" t="s">
        <v>54</v>
      </c>
      <c r="C61" s="334">
        <v>119</v>
      </c>
      <c r="D61" s="334">
        <v>4564890.9000000004</v>
      </c>
      <c r="E61" s="334">
        <v>275</v>
      </c>
      <c r="F61" s="334">
        <v>3879500.9</v>
      </c>
    </row>
    <row r="62" spans="1:6">
      <c r="A62" s="348" t="s">
        <v>49</v>
      </c>
      <c r="B62" s="348" t="s">
        <v>55</v>
      </c>
      <c r="C62" s="334">
        <v>6</v>
      </c>
      <c r="D62" s="334">
        <v>564146</v>
      </c>
      <c r="E62" s="334">
        <v>7</v>
      </c>
      <c r="F62" s="334">
        <v>59569</v>
      </c>
    </row>
    <row r="63" spans="1:6">
      <c r="A63" s="348" t="s">
        <v>49</v>
      </c>
      <c r="B63" s="348" t="s">
        <v>29</v>
      </c>
      <c r="C63" s="334">
        <v>0</v>
      </c>
      <c r="D63" s="334">
        <v>0</v>
      </c>
      <c r="E63" s="334">
        <v>3</v>
      </c>
      <c r="F63" s="334">
        <v>35408.649646905498</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10</v>
      </c>
      <c r="F66" s="334">
        <v>287883</v>
      </c>
    </row>
    <row r="67" spans="1:6">
      <c r="A67" s="355" t="s">
        <v>56</v>
      </c>
      <c r="B67" s="355" t="s">
        <v>59</v>
      </c>
      <c r="C67" s="334">
        <v>0</v>
      </c>
      <c r="D67" s="334">
        <v>0</v>
      </c>
      <c r="E67" s="334">
        <v>0</v>
      </c>
      <c r="F67" s="334">
        <v>0</v>
      </c>
    </row>
    <row r="68" spans="1:6">
      <c r="A68" s="341" t="s">
        <v>56</v>
      </c>
      <c r="B68" s="341" t="s">
        <v>60</v>
      </c>
      <c r="C68" s="334">
        <v>3</v>
      </c>
      <c r="D68" s="334">
        <v>496130</v>
      </c>
      <c r="E68" s="334">
        <v>14</v>
      </c>
      <c r="F68" s="334">
        <v>859642.47499999998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55531470</v>
      </c>
      <c r="E73" s="475">
        <v>62245807.7340042</v>
      </c>
    </row>
    <row r="74" spans="1:6">
      <c r="A74" s="348" t="s">
        <v>64</v>
      </c>
      <c r="B74" s="348" t="s">
        <v>657</v>
      </c>
      <c r="C74" s="1295" t="s">
        <v>659</v>
      </c>
      <c r="D74" s="475">
        <v>5821682</v>
      </c>
      <c r="E74" s="475">
        <v>6307615.6439719833</v>
      </c>
    </row>
    <row r="75" spans="1:6">
      <c r="A75" s="348" t="s">
        <v>65</v>
      </c>
      <c r="B75" s="348" t="s">
        <v>656</v>
      </c>
      <c r="C75" s="1295" t="s">
        <v>660</v>
      </c>
      <c r="D75" s="475">
        <v>24968821</v>
      </c>
      <c r="E75" s="475">
        <v>29896859.918653741</v>
      </c>
    </row>
    <row r="76" spans="1:6">
      <c r="A76" s="348" t="s">
        <v>65</v>
      </c>
      <c r="B76" s="348" t="s">
        <v>657</v>
      </c>
      <c r="C76" s="1295" t="s">
        <v>661</v>
      </c>
      <c r="D76" s="475">
        <v>858470</v>
      </c>
      <c r="E76" s="475">
        <v>958472.30672990764</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765018</v>
      </c>
      <c r="C83" s="475">
        <v>766059.04887006385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2848.3146600838732</v>
      </c>
    </row>
    <row r="92" spans="1:6">
      <c r="A92" s="341" t="s">
        <v>69</v>
      </c>
      <c r="B92" s="342">
        <v>1439.1914796319124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921</v>
      </c>
    </row>
    <row r="98" spans="1:6">
      <c r="A98" s="348" t="s">
        <v>72</v>
      </c>
      <c r="B98" s="334">
        <v>2</v>
      </c>
    </row>
    <row r="99" spans="1:6">
      <c r="A99" s="348" t="s">
        <v>73</v>
      </c>
      <c r="B99" s="334">
        <v>104</v>
      </c>
    </row>
    <row r="100" spans="1:6">
      <c r="A100" s="348" t="s">
        <v>74</v>
      </c>
      <c r="B100" s="334">
        <v>359</v>
      </c>
    </row>
    <row r="101" spans="1:6">
      <c r="A101" s="348" t="s">
        <v>75</v>
      </c>
      <c r="B101" s="334">
        <v>35</v>
      </c>
    </row>
    <row r="102" spans="1:6">
      <c r="A102" s="348" t="s">
        <v>76</v>
      </c>
      <c r="B102" s="334">
        <v>49</v>
      </c>
    </row>
    <row r="103" spans="1:6">
      <c r="A103" s="348" t="s">
        <v>77</v>
      </c>
      <c r="B103" s="334">
        <v>118</v>
      </c>
    </row>
    <row r="104" spans="1:6">
      <c r="A104" s="348" t="s">
        <v>78</v>
      </c>
      <c r="B104" s="334">
        <v>2384</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25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96</v>
      </c>
    </row>
    <row r="130" spans="1:6">
      <c r="A130" s="348" t="s">
        <v>295</v>
      </c>
      <c r="B130" s="334">
        <v>1</v>
      </c>
    </row>
    <row r="131" spans="1:6">
      <c r="A131" s="348" t="s">
        <v>296</v>
      </c>
      <c r="B131" s="334">
        <v>3</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44549.124250264205</v>
      </c>
      <c r="C3" s="43" t="s">
        <v>170</v>
      </c>
      <c r="D3" s="43"/>
      <c r="E3" s="154"/>
      <c r="F3" s="43"/>
      <c r="G3" s="43"/>
      <c r="H3" s="43"/>
      <c r="I3" s="43"/>
      <c r="J3" s="43"/>
      <c r="K3" s="96"/>
    </row>
    <row r="4" spans="1:11">
      <c r="A4" s="383" t="s">
        <v>171</v>
      </c>
      <c r="B4" s="49">
        <f>IF(ISERROR('SEAP template'!B78+'SEAP template'!C78),0,'SEAP template'!B78+'SEAP template'!C78)</f>
        <v>4287.506139715786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0.19973047174722927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1137.5409999999999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1137.5409999999999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0.19973047174722927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227.20160056181493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18088.523720318666</v>
      </c>
      <c r="C5" s="17">
        <f>IF(ISERROR('Eigen informatie GS &amp; warmtenet'!B57),0,'Eigen informatie GS &amp; warmtenet'!B57)</f>
        <v>0</v>
      </c>
      <c r="D5" s="30">
        <f>(SUM(HH_hh_gas_kWh,HH_rest_gas_kWh)/1000)*0.902</f>
        <v>36056.6304428</v>
      </c>
      <c r="E5" s="17">
        <f>B46*B57</f>
        <v>5029.3114149870171</v>
      </c>
      <c r="F5" s="17">
        <f>B51*B62</f>
        <v>29424.626596721784</v>
      </c>
      <c r="G5" s="18"/>
      <c r="H5" s="17"/>
      <c r="I5" s="17"/>
      <c r="J5" s="17">
        <f>B50*B61+C50*C61</f>
        <v>0</v>
      </c>
      <c r="K5" s="17"/>
      <c r="L5" s="17"/>
      <c r="M5" s="17"/>
      <c r="N5" s="17">
        <f>B48*B59+C48*C59</f>
        <v>5768.1414397009421</v>
      </c>
      <c r="O5" s="17">
        <f>B69*B70*B71</f>
        <v>189.16333333333336</v>
      </c>
      <c r="P5" s="17">
        <f>B77*B78*B79/1000-B77*B78*B79/1000/B80</f>
        <v>1067.7333333333333</v>
      </c>
    </row>
    <row r="6" spans="1:16">
      <c r="A6" s="16" t="s">
        <v>621</v>
      </c>
      <c r="B6" s="788">
        <f>kWh_PV_kleiner_dan_10kW</f>
        <v>2848.3146600838732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20936.83838040254</v>
      </c>
      <c r="C8" s="21">
        <f>C5</f>
        <v>0</v>
      </c>
      <c r="D8" s="21">
        <f>D5</f>
        <v>36056.6304428</v>
      </c>
      <c r="E8" s="21">
        <f>E5</f>
        <v>5029.3114149870171</v>
      </c>
      <c r="F8" s="21">
        <f>F5</f>
        <v>29424.626596721784</v>
      </c>
      <c r="G8" s="21"/>
      <c r="H8" s="21"/>
      <c r="I8" s="21"/>
      <c r="J8" s="21">
        <f>J5</f>
        <v>0</v>
      </c>
      <c r="K8" s="21"/>
      <c r="L8" s="21">
        <f>L5</f>
        <v>0</v>
      </c>
      <c r="M8" s="21">
        <f>M5</f>
        <v>0</v>
      </c>
      <c r="N8" s="21">
        <f>N5</f>
        <v>5768.1414397009421</v>
      </c>
      <c r="O8" s="21">
        <f>O5</f>
        <v>189.16333333333336</v>
      </c>
      <c r="P8" s="21">
        <f>P5</f>
        <v>1067.7333333333333</v>
      </c>
    </row>
    <row r="9" spans="1:16">
      <c r="B9" s="19"/>
      <c r="C9" s="19"/>
      <c r="D9" s="258"/>
      <c r="E9" s="19"/>
      <c r="F9" s="19"/>
      <c r="G9" s="19"/>
      <c r="H9" s="19"/>
      <c r="I9" s="19"/>
      <c r="J9" s="19"/>
      <c r="K9" s="19"/>
      <c r="L9" s="19"/>
      <c r="M9" s="19"/>
      <c r="N9" s="19"/>
      <c r="O9" s="19"/>
      <c r="P9" s="19"/>
    </row>
    <row r="10" spans="1:16">
      <c r="A10" s="24" t="s">
        <v>214</v>
      </c>
      <c r="B10" s="25">
        <f ca="1">'EF ele_warmte'!B12</f>
        <v>0.19973047174722927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4181.7246066132948</v>
      </c>
      <c r="C12" s="23">
        <f ca="1">C10*C8</f>
        <v>0</v>
      </c>
      <c r="D12" s="23">
        <f>D8*D10</f>
        <v>7283.4393494456008</v>
      </c>
      <c r="E12" s="23">
        <f>E10*E8</f>
        <v>1141.6536912020529</v>
      </c>
      <c r="F12" s="23">
        <f>F10*F8</f>
        <v>7856.3753013247169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921</v>
      </c>
      <c r="C18" s="166" t="s">
        <v>111</v>
      </c>
      <c r="D18" s="228"/>
      <c r="E18" s="15"/>
    </row>
    <row r="19" spans="1:7">
      <c r="A19" s="171" t="s">
        <v>72</v>
      </c>
      <c r="B19" s="37">
        <f>aantalw2001_ander</f>
        <v>2</v>
      </c>
      <c r="C19" s="166" t="s">
        <v>111</v>
      </c>
      <c r="D19" s="229"/>
      <c r="E19" s="15"/>
    </row>
    <row r="20" spans="1:7">
      <c r="A20" s="171" t="s">
        <v>73</v>
      </c>
      <c r="B20" s="37">
        <f>aantalw2001_propaan</f>
        <v>104</v>
      </c>
      <c r="C20" s="167">
        <f>IF(ISERROR(B20/SUM($B$20,$B$21,$B$22)*100),0,B20/SUM($B$20,$B$21,$B$22)*100)</f>
        <v>20.883534136546185</v>
      </c>
      <c r="D20" s="229"/>
      <c r="E20" s="15"/>
    </row>
    <row r="21" spans="1:7">
      <c r="A21" s="171" t="s">
        <v>74</v>
      </c>
      <c r="B21" s="37">
        <f>aantalw2001_elektriciteit</f>
        <v>359</v>
      </c>
      <c r="C21" s="167">
        <f>IF(ISERROR(B21/SUM($B$20,$B$21,$B$22)*100),0,B21/SUM($B$20,$B$21,$B$22)*100)</f>
        <v>72.088353413654616</v>
      </c>
      <c r="D21" s="229"/>
      <c r="E21" s="15"/>
    </row>
    <row r="22" spans="1:7">
      <c r="A22" s="171" t="s">
        <v>75</v>
      </c>
      <c r="B22" s="37">
        <f>aantalw2001_hout</f>
        <v>35</v>
      </c>
      <c r="C22" s="167">
        <f>IF(ISERROR(B22/SUM($B$20,$B$21,$B$22)*100),0,B22/SUM($B$20,$B$21,$B$22)*100)</f>
        <v>7.0281124497991971</v>
      </c>
      <c r="D22" s="229"/>
      <c r="E22" s="15"/>
    </row>
    <row r="23" spans="1:7">
      <c r="A23" s="171" t="s">
        <v>76</v>
      </c>
      <c r="B23" s="37">
        <f>aantalw2001_niet_gespec</f>
        <v>49</v>
      </c>
      <c r="C23" s="166" t="s">
        <v>111</v>
      </c>
      <c r="D23" s="228"/>
      <c r="E23" s="15"/>
    </row>
    <row r="24" spans="1:7">
      <c r="A24" s="171" t="s">
        <v>77</v>
      </c>
      <c r="B24" s="37">
        <f>aantalw2001_steenkool</f>
        <v>118</v>
      </c>
      <c r="C24" s="166" t="s">
        <v>111</v>
      </c>
      <c r="D24" s="229"/>
      <c r="E24" s="15"/>
    </row>
    <row r="25" spans="1:7">
      <c r="A25" s="171" t="s">
        <v>78</v>
      </c>
      <c r="B25" s="37">
        <f>aantalw2001_stookolie</f>
        <v>2384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4637</v>
      </c>
      <c r="C28" s="36"/>
      <c r="D28" s="228"/>
    </row>
    <row r="29" spans="1:7" s="15" customFormat="1">
      <c r="A29" s="230" t="s">
        <v>794</v>
      </c>
      <c r="B29" s="37">
        <f>SUM(HH_hh_gas_aantal,HH_rest_gas_aantal)</f>
        <v>2307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2307</v>
      </c>
      <c r="C32" s="167">
        <f>IF(ISERROR(B32/SUM($B$32,$B$34,$B$35,$B$36,$B$38,$B$39)*100),0,B32/SUM($B$32,$B$34,$B$35,$B$36,$B$38,$B$39)*100)</f>
        <v>50.360183366077273</v>
      </c>
      <c r="D32" s="233"/>
      <c r="G32" s="15"/>
    </row>
    <row r="33" spans="1:7">
      <c r="A33" s="171" t="s">
        <v>72</v>
      </c>
      <c r="B33" s="34" t="s">
        <v>111</v>
      </c>
      <c r="C33" s="167"/>
      <c r="D33" s="233"/>
      <c r="G33" s="15"/>
    </row>
    <row r="34" spans="1:7">
      <c r="A34" s="171" t="s">
        <v>73</v>
      </c>
      <c r="B34" s="33">
        <f>IF((($B$28-$B$32-$B$39-$B$77-$B$38)*C20/100)&lt;0,0,($B$28-$B$32-$B$39-$B$77-$B$38)*C20/100)</f>
        <v>237.52931726907636</v>
      </c>
      <c r="C34" s="167">
        <f>IF(ISERROR(B34/SUM($B$32,$B$34,$B$35,$B$36,$B$38,$B$39)*100),0,B34/SUM($B$32,$B$34,$B$35,$B$36,$B$38,$B$39)*100)</f>
        <v>5.1850975173341274</v>
      </c>
      <c r="D34" s="233"/>
      <c r="G34" s="15"/>
    </row>
    <row r="35" spans="1:7">
      <c r="A35" s="171" t="s">
        <v>74</v>
      </c>
      <c r="B35" s="33">
        <f>IF((($B$28-$B$32-$B$39-$B$77-$B$38)*C21/100)&lt;0,0,($B$28-$B$32-$B$39-$B$77-$B$38)*C21/100)</f>
        <v>819.93293172690767</v>
      </c>
      <c r="C35" s="167">
        <f>IF(ISERROR(B35/SUM($B$32,$B$34,$B$35,$B$36,$B$38,$B$39)*100),0,B35/SUM($B$32,$B$34,$B$35,$B$36,$B$38,$B$39)*100)</f>
        <v>17.898557776182226</v>
      </c>
      <c r="D35" s="233"/>
      <c r="G35" s="15"/>
    </row>
    <row r="36" spans="1:7">
      <c r="A36" s="171" t="s">
        <v>75</v>
      </c>
      <c r="B36" s="33">
        <f>IF((($B$28-$B$32-$B$39-$B$77-$B$38)*C22/100)&lt;0,0,($B$28-$B$32-$B$39-$B$77-$B$38)*C22/100)</f>
        <v>79.937751004016079</v>
      </c>
      <c r="C36" s="167">
        <f>IF(ISERROR(B36/SUM($B$32,$B$34,$B$35,$B$36,$B$38,$B$39)*100),0,B36/SUM($B$32,$B$34,$B$35,$B$36,$B$38,$B$39)*100)</f>
        <v>1.7449847414105233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1136.5999999999999</v>
      </c>
      <c r="C39" s="167">
        <f>IF(ISERROR(B39/SUM($B$32,$B$34,$B$35,$B$36,$B$38,$B$39)*100),0,B39/SUM($B$32,$B$34,$B$35,$B$36,$B$38,$B$39)*100)</f>
        <v>24.81117659899585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2307</v>
      </c>
      <c r="C44" s="34" t="s">
        <v>111</v>
      </c>
      <c r="D44" s="174"/>
    </row>
    <row r="45" spans="1:7">
      <c r="A45" s="171" t="s">
        <v>72</v>
      </c>
      <c r="B45" s="33" t="str">
        <f t="shared" si="0"/>
        <v>-</v>
      </c>
      <c r="C45" s="34" t="s">
        <v>111</v>
      </c>
      <c r="D45" s="174"/>
    </row>
    <row r="46" spans="1:7">
      <c r="A46" s="171" t="s">
        <v>73</v>
      </c>
      <c r="B46" s="33">
        <f t="shared" si="0"/>
        <v>237.52931726907636</v>
      </c>
      <c r="C46" s="34" t="s">
        <v>111</v>
      </c>
      <c r="D46" s="174"/>
    </row>
    <row r="47" spans="1:7">
      <c r="A47" s="171" t="s">
        <v>74</v>
      </c>
      <c r="B47" s="33">
        <f t="shared" si="0"/>
        <v>819.93293172690767</v>
      </c>
      <c r="C47" s="34" t="s">
        <v>111</v>
      </c>
      <c r="D47" s="174"/>
    </row>
    <row r="48" spans="1:7">
      <c r="A48" s="171" t="s">
        <v>75</v>
      </c>
      <c r="B48" s="33">
        <f t="shared" si="0"/>
        <v>79.937751004016079</v>
      </c>
      <c r="C48" s="33">
        <f>B48*10</f>
        <v>799.37751004016081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1136.5999999999999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15209.327153646907</v>
      </c>
      <c r="C5" s="17">
        <f>IF(ISERROR('Eigen informatie GS &amp; warmtenet'!B58),0,'Eigen informatie GS &amp; warmtenet'!B58)</f>
        <v>0</v>
      </c>
      <c r="D5" s="30">
        <f>SUM(D6:D12)</f>
        <v>8973.020525150001</v>
      </c>
      <c r="E5" s="17">
        <f>SUM(E6:E12)</f>
        <v>308.42179311982943</v>
      </c>
      <c r="F5" s="17">
        <f>SUM(F6:F12)</f>
        <v>2758.1480966106092</v>
      </c>
      <c r="G5" s="18"/>
      <c r="H5" s="17"/>
      <c r="I5" s="17"/>
      <c r="J5" s="17">
        <f>SUM(J6:J12)</f>
        <v>3.2868395656755804E-2</v>
      </c>
      <c r="K5" s="17"/>
      <c r="L5" s="17"/>
      <c r="M5" s="17"/>
      <c r="N5" s="17">
        <f>SUM(N6:N12)</f>
        <v>1309.0150218336089</v>
      </c>
      <c r="O5" s="17">
        <f>B38*B39*B40</f>
        <v>1.5633333333333335</v>
      </c>
      <c r="P5" s="17">
        <f>B46*B47*B48/1000-B46*B47*B48/1000/B49</f>
        <v>57.2</v>
      </c>
      <c r="R5" s="32"/>
    </row>
    <row r="6" spans="1:18">
      <c r="A6" s="32" t="s">
        <v>54</v>
      </c>
      <c r="B6" s="37">
        <f>B26</f>
        <v>3879.5009</v>
      </c>
      <c r="C6" s="33"/>
      <c r="D6" s="37">
        <f>IF(ISERROR(TER_kantoor_gas_kWh/1000),0,TER_kantoor_gas_kWh/1000)*0.902</f>
        <v>4117.5315918000006</v>
      </c>
      <c r="E6" s="33">
        <f>$C$26*'E Balans VL '!I12/100/3.6*1000000</f>
        <v>2.4315421339415059E-2</v>
      </c>
      <c r="F6" s="33">
        <f>$C$26*('E Balans VL '!L12+'E Balans VL '!N12)/100/3.6*1000000</f>
        <v>582.98058167599538</v>
      </c>
      <c r="G6" s="34"/>
      <c r="H6" s="33"/>
      <c r="I6" s="33"/>
      <c r="J6" s="33">
        <f>$C$26*('E Balans VL '!D12+'E Balans VL '!E12)/100/3.6*1000000</f>
        <v>0</v>
      </c>
      <c r="K6" s="33"/>
      <c r="L6" s="33"/>
      <c r="M6" s="33"/>
      <c r="N6" s="33">
        <f>$C$26*'E Balans VL '!Y12/100/3.6*1000000</f>
        <v>3.7101674117168257</v>
      </c>
      <c r="O6" s="33"/>
      <c r="P6" s="33"/>
      <c r="R6" s="32"/>
    </row>
    <row r="7" spans="1:18">
      <c r="A7" s="32" t="s">
        <v>53</v>
      </c>
      <c r="B7" s="37">
        <f t="shared" ref="B7:B12" si="0">B27</f>
        <v>1320.769</v>
      </c>
      <c r="C7" s="33"/>
      <c r="D7" s="37">
        <f>IF(ISERROR(TER_horeca_gas_kWh/1000),0,TER_horeca_gas_kWh/1000)*0.902</f>
        <v>659.87433599999997</v>
      </c>
      <c r="E7" s="33">
        <f>$C$27*'E Balans VL '!I9/100/3.6*1000000</f>
        <v>18.913192081881821</v>
      </c>
      <c r="F7" s="33">
        <f>$C$27*('E Balans VL '!L9+'E Balans VL '!N9)/100/3.6*1000000</f>
        <v>167.25291603983126</v>
      </c>
      <c r="G7" s="34"/>
      <c r="H7" s="33"/>
      <c r="I7" s="33"/>
      <c r="J7" s="33">
        <f>$C$27*('E Balans VL '!D9+'E Balans VL '!E9)/100/3.6*1000000</f>
        <v>0</v>
      </c>
      <c r="K7" s="33"/>
      <c r="L7" s="33"/>
      <c r="M7" s="33"/>
      <c r="N7" s="33">
        <f>$C$27*'E Balans VL '!Y9/100/3.6*1000000</f>
        <v>0.37969196704324021</v>
      </c>
      <c r="O7" s="33"/>
      <c r="P7" s="33"/>
      <c r="R7" s="32"/>
    </row>
    <row r="8" spans="1:18">
      <c r="A8" s="6" t="s">
        <v>52</v>
      </c>
      <c r="B8" s="37">
        <f t="shared" si="0"/>
        <v>7893.9789000000001</v>
      </c>
      <c r="C8" s="33"/>
      <c r="D8" s="37">
        <f>IF(ISERROR(TER_handel_gas_kWh/1000),0,TER_handel_gas_kWh/1000)*0.902</f>
        <v>1647.4984899999999</v>
      </c>
      <c r="E8" s="33">
        <f>$C$28*'E Balans VL '!I13/100/3.6*1000000</f>
        <v>286.3136412611338</v>
      </c>
      <c r="F8" s="33">
        <f>$C$28*('E Balans VL '!L13+'E Balans VL '!N13)/100/3.6*1000000</f>
        <v>1520.4602677582561</v>
      </c>
      <c r="G8" s="34"/>
      <c r="H8" s="33"/>
      <c r="I8" s="33"/>
      <c r="J8" s="33">
        <f>$C$28*('E Balans VL '!D13+'E Balans VL '!E13)/100/3.6*1000000</f>
        <v>0</v>
      </c>
      <c r="K8" s="33"/>
      <c r="L8" s="33"/>
      <c r="M8" s="33"/>
      <c r="N8" s="33">
        <f>$C$28*'E Balans VL '!Y13/100/3.6*1000000</f>
        <v>10.934977100039287</v>
      </c>
      <c r="O8" s="33"/>
      <c r="P8" s="33"/>
      <c r="R8" s="32"/>
    </row>
    <row r="9" spans="1:18">
      <c r="A9" s="32" t="s">
        <v>51</v>
      </c>
      <c r="B9" s="37">
        <f t="shared" si="0"/>
        <v>509.80255</v>
      </c>
      <c r="C9" s="33"/>
      <c r="D9" s="37">
        <f>IF(ISERROR(TER_gezond_gas_kWh/1000),0,TER_gezond_gas_kWh/1000)*0.902</f>
        <v>1460.48811535</v>
      </c>
      <c r="E9" s="33">
        <f>$C$29*'E Balans VL '!I10/100/3.6*1000000</f>
        <v>3.1918673020846611E-2</v>
      </c>
      <c r="F9" s="33">
        <f>$C$29*('E Balans VL '!L10+'E Balans VL '!N10)/100/3.6*1000000</f>
        <v>75.732721003440957</v>
      </c>
      <c r="G9" s="34"/>
      <c r="H9" s="33"/>
      <c r="I9" s="33"/>
      <c r="J9" s="33">
        <f>$C$29*('E Balans VL '!D10+'E Balans VL '!E10)/100/3.6*1000000</f>
        <v>0</v>
      </c>
      <c r="K9" s="33"/>
      <c r="L9" s="33"/>
      <c r="M9" s="33"/>
      <c r="N9" s="33">
        <f>$C$29*'E Balans VL '!Y10/100/3.6*1000000</f>
        <v>7.8856750351411575</v>
      </c>
      <c r="O9" s="33"/>
      <c r="P9" s="33"/>
      <c r="R9" s="32"/>
    </row>
    <row r="10" spans="1:18">
      <c r="A10" s="32" t="s">
        <v>50</v>
      </c>
      <c r="B10" s="37">
        <f t="shared" si="0"/>
        <v>1510.2981540000001</v>
      </c>
      <c r="C10" s="33"/>
      <c r="D10" s="37">
        <f>IF(ISERROR(TER_ander_gas_kWh/1000),0,TER_ander_gas_kWh/1000)*0.902</f>
        <v>578.76829999999995</v>
      </c>
      <c r="E10" s="33">
        <f>$C$30*'E Balans VL '!I14/100/3.6*1000000</f>
        <v>1.8002214306311242</v>
      </c>
      <c r="F10" s="33">
        <f>$C$30*('E Balans VL '!L14+'E Balans VL '!N14)/100/3.6*1000000</f>
        <v>395.16113966873746</v>
      </c>
      <c r="G10" s="34"/>
      <c r="H10" s="33"/>
      <c r="I10" s="33"/>
      <c r="J10" s="33">
        <f>$C$30*('E Balans VL '!D14+'E Balans VL '!E14)/100/3.6*1000000</f>
        <v>3.2782652718044793E-2</v>
      </c>
      <c r="K10" s="33"/>
      <c r="L10" s="33"/>
      <c r="M10" s="33"/>
      <c r="N10" s="33">
        <f>$C$30*'E Balans VL '!Y14/100/3.6*1000000</f>
        <v>1282.508235901171</v>
      </c>
      <c r="O10" s="33"/>
      <c r="P10" s="33"/>
      <c r="R10" s="32"/>
    </row>
    <row r="11" spans="1:18">
      <c r="A11" s="32" t="s">
        <v>55</v>
      </c>
      <c r="B11" s="37">
        <f t="shared" si="0"/>
        <v>59.569000000000003</v>
      </c>
      <c r="C11" s="33"/>
      <c r="D11" s="37">
        <f>IF(ISERROR(TER_onderwijs_gas_kWh/1000),0,TER_onderwijs_gas_kWh/1000)*0.902</f>
        <v>508.859692</v>
      </c>
      <c r="E11" s="33">
        <f>$C$31*'E Balans VL '!I11/100/3.6*1000000</f>
        <v>0.89880026500211974</v>
      </c>
      <c r="F11" s="33">
        <f>$C$31*('E Balans VL '!L11+'E Balans VL '!N11)/100/3.6*1000000</f>
        <v>10.437440443086068</v>
      </c>
      <c r="G11" s="34"/>
      <c r="H11" s="33"/>
      <c r="I11" s="33"/>
      <c r="J11" s="33">
        <f>$C$31*('E Balans VL '!D11+'E Balans VL '!E11)/100/3.6*1000000</f>
        <v>0</v>
      </c>
      <c r="K11" s="33"/>
      <c r="L11" s="33"/>
      <c r="M11" s="33"/>
      <c r="N11" s="33">
        <f>$C$31*'E Balans VL '!Y11/100/3.6*1000000</f>
        <v>0.16763169460783789</v>
      </c>
      <c r="O11" s="33"/>
      <c r="P11" s="33"/>
      <c r="R11" s="32"/>
    </row>
    <row r="12" spans="1:18">
      <c r="A12" s="32" t="s">
        <v>260</v>
      </c>
      <c r="B12" s="37">
        <f t="shared" si="0"/>
        <v>35.408649646905495</v>
      </c>
      <c r="C12" s="33"/>
      <c r="D12" s="37">
        <f>IF(ISERROR(TER_rest_gas_kWh/1000),0,TER_rest_gas_kWh/1000)*0.902</f>
        <v>0</v>
      </c>
      <c r="E12" s="33">
        <f>$C$32*'E Balans VL '!I8/100/3.6*1000000</f>
        <v>0.43970398682028161</v>
      </c>
      <c r="F12" s="33">
        <f>$C$32*('E Balans VL '!L8+'E Balans VL '!N8)/100/3.6*1000000</f>
        <v>6.1230300212620241</v>
      </c>
      <c r="G12" s="34"/>
      <c r="H12" s="33"/>
      <c r="I12" s="33"/>
      <c r="J12" s="33">
        <f>$C$32*('E Balans VL '!D8+'E Balans VL '!E8)/100/3.6*1000000</f>
        <v>8.5742938711010555E-5</v>
      </c>
      <c r="K12" s="33"/>
      <c r="L12" s="33"/>
      <c r="M12" s="33"/>
      <c r="N12" s="33">
        <f>$C$32*'E Balans VL '!Y8/100/3.6*1000000</f>
        <v>3.4286427238895576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15209.327153646907</v>
      </c>
      <c r="C16" s="21">
        <f t="shared" ca="1" si="1"/>
        <v>0</v>
      </c>
      <c r="D16" s="21">
        <f t="shared" ca="1" si="1"/>
        <v>8973.020525150001</v>
      </c>
      <c r="E16" s="21">
        <f t="shared" si="1"/>
        <v>308.42179311982943</v>
      </c>
      <c r="F16" s="21">
        <f t="shared" ca="1" si="1"/>
        <v>2758.1480966106092</v>
      </c>
      <c r="G16" s="21">
        <f t="shared" si="1"/>
        <v>0</v>
      </c>
      <c r="H16" s="21">
        <f t="shared" si="1"/>
        <v>0</v>
      </c>
      <c r="I16" s="21">
        <f t="shared" si="1"/>
        <v>0</v>
      </c>
      <c r="J16" s="21">
        <f t="shared" si="1"/>
        <v>3.2868395656755804E-2</v>
      </c>
      <c r="K16" s="21">
        <f t="shared" si="1"/>
        <v>0</v>
      </c>
      <c r="L16" s="21">
        <f t="shared" ca="1" si="1"/>
        <v>0</v>
      </c>
      <c r="M16" s="21">
        <f t="shared" si="1"/>
        <v>0</v>
      </c>
      <c r="N16" s="21">
        <f t="shared" ca="1" si="1"/>
        <v>1309.0150218336089</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0.19973047174722927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3037.7660873558407</v>
      </c>
      <c r="C20" s="23">
        <f t="shared" ref="C20:P20" ca="1" si="2">C16*C18</f>
        <v>0</v>
      </c>
      <c r="D20" s="23">
        <f t="shared" ca="1" si="2"/>
        <v>1812.5501460803002</v>
      </c>
      <c r="E20" s="23">
        <f t="shared" si="2"/>
        <v>70.011747038201278</v>
      </c>
      <c r="F20" s="23">
        <f t="shared" ca="1" si="2"/>
        <v>736.4255417950327</v>
      </c>
      <c r="G20" s="23">
        <f t="shared" si="2"/>
        <v>0</v>
      </c>
      <c r="H20" s="23">
        <f t="shared" si="2"/>
        <v>0</v>
      </c>
      <c r="I20" s="23">
        <f t="shared" si="2"/>
        <v>0</v>
      </c>
      <c r="J20" s="23">
        <f t="shared" si="2"/>
        <v>1.1635412062491555E-2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3879.5009</v>
      </c>
      <c r="C26" s="39">
        <f>IF(ISERROR(B26*3.6/1000000/'E Balans VL '!Z12*100),0,B26*3.6/1000000/'E Balans VL '!Z12*100)</f>
        <v>8.2006503400161052E-2</v>
      </c>
      <c r="D26" s="237" t="s">
        <v>754</v>
      </c>
      <c r="F26" s="6"/>
    </row>
    <row r="27" spans="1:18">
      <c r="A27" s="231" t="s">
        <v>53</v>
      </c>
      <c r="B27" s="33">
        <f>IF(ISERROR(TER_horeca_ele_kWh/1000),0,TER_horeca_ele_kWh/1000)</f>
        <v>1320.769</v>
      </c>
      <c r="C27" s="39">
        <f>IF(ISERROR(B27*3.6/1000000/'E Balans VL '!Z9*100),0,B27*3.6/1000000/'E Balans VL '!Z9*100)</f>
        <v>0.10411572799426209</v>
      </c>
      <c r="D27" s="237" t="s">
        <v>754</v>
      </c>
      <c r="F27" s="6"/>
    </row>
    <row r="28" spans="1:18">
      <c r="A28" s="171" t="s">
        <v>52</v>
      </c>
      <c r="B28" s="33">
        <f>IF(ISERROR(TER_handel_ele_kWh/1000),0,TER_handel_ele_kWh/1000)</f>
        <v>7893.9789000000001</v>
      </c>
      <c r="C28" s="39">
        <f>IF(ISERROR(B28*3.6/1000000/'E Balans VL '!Z13*100),0,B28*3.6/1000000/'E Balans VL '!Z13*100)</f>
        <v>0.22911516292681333</v>
      </c>
      <c r="D28" s="237" t="s">
        <v>754</v>
      </c>
      <c r="F28" s="6"/>
    </row>
    <row r="29" spans="1:18">
      <c r="A29" s="231" t="s">
        <v>51</v>
      </c>
      <c r="B29" s="33">
        <f>IF(ISERROR(TER_gezond_ele_kWh/1000),0,TER_gezond_ele_kWh/1000)</f>
        <v>509.80255</v>
      </c>
      <c r="C29" s="39">
        <f>IF(ISERROR(B29*3.6/1000000/'E Balans VL '!Z10*100),0,B29*3.6/1000000/'E Balans VL '!Z10*100)</f>
        <v>5.3690579693837767E-2</v>
      </c>
      <c r="D29" s="237" t="s">
        <v>754</v>
      </c>
      <c r="F29" s="6"/>
    </row>
    <row r="30" spans="1:18">
      <c r="A30" s="231" t="s">
        <v>50</v>
      </c>
      <c r="B30" s="33">
        <f>IF(ISERROR(TER_ander_ele_kWh/1000),0,TER_ander_ele_kWh/1000)</f>
        <v>1510.2981540000001</v>
      </c>
      <c r="C30" s="39">
        <f>IF(ISERROR(B30*3.6/1000000/'E Balans VL '!Z14*100),0,B30*3.6/1000000/'E Balans VL '!Z14*100)</f>
        <v>0.11139991987416729</v>
      </c>
      <c r="D30" s="237" t="s">
        <v>754</v>
      </c>
      <c r="F30" s="6"/>
    </row>
    <row r="31" spans="1:18">
      <c r="A31" s="231" t="s">
        <v>55</v>
      </c>
      <c r="B31" s="33">
        <f>IF(ISERROR(TER_onderwijs_ele_kWh/1000),0,TER_onderwijs_ele_kWh/1000)</f>
        <v>59.569000000000003</v>
      </c>
      <c r="C31" s="39">
        <f>IF(ISERROR(B31*3.6/1000000/'E Balans VL '!Z11*100),0,B31*3.6/1000000/'E Balans VL '!Z11*100)</f>
        <v>1.479377307629101E-2</v>
      </c>
      <c r="D31" s="237" t="s">
        <v>754</v>
      </c>
    </row>
    <row r="32" spans="1:18">
      <c r="A32" s="231" t="s">
        <v>260</v>
      </c>
      <c r="B32" s="33">
        <f>IF(ISERROR(TER_rest_ele_kWh/1000),0,TER_rest_ele_kWh/1000)</f>
        <v>35.408649646905495</v>
      </c>
      <c r="C32" s="39">
        <f>IF(ISERROR(B32*3.6/1000000/'E Balans VL '!Z8*100),0,B32*3.6/1000000/'E Balans VL '!Z8*100)</f>
        <v>2.913661863893208E-4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5186.5824499999999</v>
      </c>
      <c r="C5" s="17">
        <f>IF(ISERROR('Eigen informatie GS &amp; warmtenet'!B59),0,'Eigen informatie GS &amp; warmtenet'!B59)</f>
        <v>0</v>
      </c>
      <c r="D5" s="30">
        <f>SUM(D6:D15)</f>
        <v>1808.5371051000002</v>
      </c>
      <c r="E5" s="17">
        <f>SUM(E6:E15)</f>
        <v>219.75350237746227</v>
      </c>
      <c r="F5" s="17">
        <f>SUM(F6:F15)</f>
        <v>778.08604669282624</v>
      </c>
      <c r="G5" s="18"/>
      <c r="H5" s="17"/>
      <c r="I5" s="17"/>
      <c r="J5" s="17">
        <f>SUM(J6:J15)</f>
        <v>1.263893143016781</v>
      </c>
      <c r="K5" s="17"/>
      <c r="L5" s="17"/>
      <c r="M5" s="17"/>
      <c r="N5" s="17">
        <f>SUM(N6:N15)</f>
        <v>7800.9276630588884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1062.3878500000001</v>
      </c>
      <c r="C8" s="33"/>
      <c r="D8" s="37">
        <f>IF( ISERROR(IND_metaal_Gas_kWH/1000),0,IND_metaal_Gas_kWH/1000)*0.902</f>
        <v>395.95968940000006</v>
      </c>
      <c r="E8" s="33">
        <f>C30*'E Balans VL '!I18/100/3.6*1000000</f>
        <v>9.7676302168065714</v>
      </c>
      <c r="F8" s="33">
        <f>C30*'E Balans VL '!L18/100/3.6*1000000+C30*'E Balans VL '!N18/100/3.6*1000000</f>
        <v>99.61660985811217</v>
      </c>
      <c r="G8" s="34"/>
      <c r="H8" s="33"/>
      <c r="I8" s="33"/>
      <c r="J8" s="40">
        <f>C30*'E Balans VL '!D18/100/3.6*1000000+C30*'E Balans VL '!E18/100/3.6*1000000</f>
        <v>0</v>
      </c>
      <c r="K8" s="33"/>
      <c r="L8" s="33"/>
      <c r="M8" s="33"/>
      <c r="N8" s="33">
        <f>C30*'E Balans VL '!Y18/100/3.6*1000000</f>
        <v>15.156718350105221</v>
      </c>
      <c r="O8" s="33"/>
      <c r="P8" s="33"/>
      <c r="R8" s="32"/>
    </row>
    <row r="9" spans="1:18">
      <c r="A9" s="6" t="s">
        <v>33</v>
      </c>
      <c r="B9" s="37">
        <f t="shared" si="0"/>
        <v>655.38780000000008</v>
      </c>
      <c r="C9" s="33"/>
      <c r="D9" s="37">
        <f>IF( ISERROR(IND_andere_gas_kWh/1000),0,IND_andere_gas_kWh/1000)*0.902</f>
        <v>553.72246600000005</v>
      </c>
      <c r="E9" s="33">
        <f>C31*'E Balans VL '!I19/100/3.6*1000000</f>
        <v>191.58261283556297</v>
      </c>
      <c r="F9" s="33">
        <f>C31*'E Balans VL '!L19/100/3.6*1000000+C31*'E Balans VL '!N19/100/3.6*1000000</f>
        <v>526.65370559815585</v>
      </c>
      <c r="G9" s="34"/>
      <c r="H9" s="33"/>
      <c r="I9" s="33"/>
      <c r="J9" s="40">
        <f>C31*'E Balans VL '!D19/100/3.6*1000000+C31*'E Balans VL '!E19/100/3.6*1000000</f>
        <v>0</v>
      </c>
      <c r="K9" s="33"/>
      <c r="L9" s="33"/>
      <c r="M9" s="33"/>
      <c r="N9" s="33">
        <f>C31*'E Balans VL '!Y19/100/3.6*1000000</f>
        <v>216.55029346412542</v>
      </c>
      <c r="O9" s="33"/>
      <c r="P9" s="33"/>
      <c r="R9" s="32"/>
    </row>
    <row r="10" spans="1:18">
      <c r="A10" s="6" t="s">
        <v>41</v>
      </c>
      <c r="B10" s="37">
        <f t="shared" si="0"/>
        <v>645.0068</v>
      </c>
      <c r="C10" s="33"/>
      <c r="D10" s="37">
        <f>IF( ISERROR(IND_voed_gas_kWh/1000),0,IND_voed_gas_kWh/1000)*0.902</f>
        <v>0</v>
      </c>
      <c r="E10" s="33">
        <f>C32*'E Balans VL '!I20/100/3.6*1000000</f>
        <v>1.3645218863488839</v>
      </c>
      <c r="F10" s="33">
        <f>C32*'E Balans VL '!L20/100/3.6*1000000+C32*'E Balans VL '!N20/100/3.6*1000000</f>
        <v>41.010191199125579</v>
      </c>
      <c r="G10" s="34"/>
      <c r="H10" s="33"/>
      <c r="I10" s="33"/>
      <c r="J10" s="40">
        <f>C32*'E Balans VL '!D20/100/3.6*1000000+C32*'E Balans VL '!E20/100/3.6*1000000</f>
        <v>0</v>
      </c>
      <c r="K10" s="33"/>
      <c r="L10" s="33"/>
      <c r="M10" s="33"/>
      <c r="N10" s="33">
        <f>C32*'E Balans VL '!Y20/100/3.6*1000000</f>
        <v>44.511834282630538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2569.922</v>
      </c>
      <c r="C13" s="33"/>
      <c r="D13" s="37">
        <f>IF( ISERROR(IND_papier_gas_kWh/1000),0,IND_papier_gas_kWh/1000)*0.902</f>
        <v>0</v>
      </c>
      <c r="E13" s="33">
        <f>C35*'E Balans VL '!I23/100/3.6*1000000</f>
        <v>3.6461315814011872</v>
      </c>
      <c r="F13" s="33">
        <f>C35*'E Balans VL '!L23/100/3.6*1000000+C35*'E Balans VL '!N23/100/3.6*1000000</f>
        <v>62.741459549770376</v>
      </c>
      <c r="G13" s="34"/>
      <c r="H13" s="33"/>
      <c r="I13" s="33"/>
      <c r="J13" s="40">
        <f>C35*'E Balans VL '!D23/100/3.6*1000000+C35*'E Balans VL '!E23/100/3.6*1000000</f>
        <v>0.39746256519802858</v>
      </c>
      <c r="K13" s="33"/>
      <c r="L13" s="33"/>
      <c r="M13" s="33"/>
      <c r="N13" s="33">
        <f>C35*'E Balans VL '!Y23/100/3.6*1000000</f>
        <v>7470.1549116776587</v>
      </c>
      <c r="O13" s="33"/>
      <c r="P13" s="33"/>
      <c r="R13" s="32"/>
    </row>
    <row r="14" spans="1:18">
      <c r="A14" s="6" t="s">
        <v>34</v>
      </c>
      <c r="B14" s="37">
        <f t="shared" si="0"/>
        <v>11.856999999999999</v>
      </c>
      <c r="C14" s="33"/>
      <c r="D14" s="37">
        <f>IF( ISERROR(IND_chemie_gas_kWh/1000),0,IND_chemie_gas_kWh/1000)*0.902</f>
        <v>0</v>
      </c>
      <c r="E14" s="33">
        <f>C36*'E Balans VL '!I24/100/3.6*1000000</f>
        <v>2.9188536746517803E-2</v>
      </c>
      <c r="F14" s="33">
        <f>C36*'E Balans VL '!L24/100/3.6*1000000+C36*'E Balans VL '!N24/100/3.6*1000000</f>
        <v>0.12696419989618929</v>
      </c>
      <c r="G14" s="34"/>
      <c r="H14" s="33"/>
      <c r="I14" s="33"/>
      <c r="J14" s="40">
        <f>C36*'E Balans VL '!D24/100/3.6*1000000+C36*'E Balans VL '!E24/100/3.6*1000000</f>
        <v>0</v>
      </c>
      <c r="K14" s="33"/>
      <c r="L14" s="33"/>
      <c r="M14" s="33"/>
      <c r="N14" s="33">
        <f>C36*'E Balans VL '!Y24/100/3.6*1000000</f>
        <v>0.26479607927978677</v>
      </c>
      <c r="O14" s="33"/>
      <c r="P14" s="33"/>
      <c r="R14" s="32"/>
    </row>
    <row r="15" spans="1:18">
      <c r="A15" s="6" t="s">
        <v>270</v>
      </c>
      <c r="B15" s="37">
        <f t="shared" si="0"/>
        <v>242.02099999999999</v>
      </c>
      <c r="C15" s="33"/>
      <c r="D15" s="37">
        <f>IF( ISERROR(IND_rest_gas_kWh/1000),0,IND_rest_gas_kWh/1000)*0.902</f>
        <v>858.85494970000002</v>
      </c>
      <c r="E15" s="33">
        <f>C37*'E Balans VL '!I15/100/3.6*1000000</f>
        <v>13.363417320596135</v>
      </c>
      <c r="F15" s="33">
        <f>C37*'E Balans VL '!L15/100/3.6*1000000+C37*'E Balans VL '!N15/100/3.6*1000000</f>
        <v>47.937116287766081</v>
      </c>
      <c r="G15" s="34"/>
      <c r="H15" s="33"/>
      <c r="I15" s="33"/>
      <c r="J15" s="40">
        <f>C37*'E Balans VL '!D15/100/3.6*1000000+C37*'E Balans VL '!E15/100/3.6*1000000</f>
        <v>0.86643057781875243</v>
      </c>
      <c r="K15" s="33"/>
      <c r="L15" s="33"/>
      <c r="M15" s="33"/>
      <c r="N15" s="33">
        <f>C37*'E Balans VL '!Y15/100/3.6*1000000</f>
        <v>54.289109205088884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5186.5824499999999</v>
      </c>
      <c r="C18" s="21">
        <f>C5+C16</f>
        <v>0</v>
      </c>
      <c r="D18" s="21">
        <f>MAX((D5+D16),0)</f>
        <v>1808.5371051000002</v>
      </c>
      <c r="E18" s="21">
        <f>MAX((E5+E16),0)</f>
        <v>219.75350237746227</v>
      </c>
      <c r="F18" s="21">
        <f>MAX((F5+F16),0)</f>
        <v>778.08604669282624</v>
      </c>
      <c r="G18" s="21"/>
      <c r="H18" s="21"/>
      <c r="I18" s="21"/>
      <c r="J18" s="21">
        <f>MAX((J5+J16),0)</f>
        <v>1.263893143016781</v>
      </c>
      <c r="K18" s="21"/>
      <c r="L18" s="21">
        <f>MAX((L5+L16),0)</f>
        <v>0</v>
      </c>
      <c r="M18" s="21"/>
      <c r="N18" s="21">
        <f>MAX((N5+N16),0)</f>
        <v>7800.9276630588884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0.19973047174722927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1035.9185594944001</v>
      </c>
      <c r="C22" s="23">
        <f ca="1">C18*C20</f>
        <v>0</v>
      </c>
      <c r="D22" s="23">
        <f>D18*D20</f>
        <v>365.32449523020006</v>
      </c>
      <c r="E22" s="23">
        <f>E18*E20</f>
        <v>49.88404503968394</v>
      </c>
      <c r="F22" s="23">
        <f>F18*F20</f>
        <v>207.74897446698461</v>
      </c>
      <c r="G22" s="23"/>
      <c r="H22" s="23"/>
      <c r="I22" s="23"/>
      <c r="J22" s="23">
        <f>J18*J20</f>
        <v>0.44741817262794048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1062.3878500000001</v>
      </c>
      <c r="C30" s="39">
        <f>IF(ISERROR(B30*3.6/1000000/'E Balans VL '!Z18*100),0,B30*3.6/1000000/'E Balans VL '!Z18*100)</f>
        <v>6.0208243600119379E-2</v>
      </c>
      <c r="D30" s="237" t="s">
        <v>754</v>
      </c>
    </row>
    <row r="31" spans="1:18">
      <c r="A31" s="6" t="s">
        <v>33</v>
      </c>
      <c r="B31" s="37">
        <f>IF( ISERROR(IND_ander_ele_kWh/1000),0,IND_ander_ele_kWh/1000)</f>
        <v>655.38780000000008</v>
      </c>
      <c r="C31" s="39">
        <f>IF(ISERROR(B31*3.6/1000000/'E Balans VL '!Z19*100),0,B31*3.6/1000000/'E Balans VL '!Z19*100)</f>
        <v>2.972566162069799E-2</v>
      </c>
      <c r="D31" s="237" t="s">
        <v>754</v>
      </c>
    </row>
    <row r="32" spans="1:18">
      <c r="A32" s="171" t="s">
        <v>41</v>
      </c>
      <c r="B32" s="37">
        <f>IF( ISERROR(IND_voed_ele_kWh/1000),0,IND_voed_ele_kWh/1000)</f>
        <v>645.0068</v>
      </c>
      <c r="C32" s="39">
        <f>IF(ISERROR(B32*3.6/1000000/'E Balans VL '!Z20*100),0,B32*3.6/1000000/'E Balans VL '!Z20*100)</f>
        <v>1.9952988407637814E-2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2569.922</v>
      </c>
      <c r="C35" s="39">
        <f>IF(ISERROR(B35*3.6/1000000/'E Balans VL '!Z22*100),0,B35*3.6/1000000/'E Balans VL '!Z22*100)</f>
        <v>0.46224878715703366</v>
      </c>
      <c r="D35" s="237" t="s">
        <v>754</v>
      </c>
    </row>
    <row r="36" spans="1:5">
      <c r="A36" s="171" t="s">
        <v>34</v>
      </c>
      <c r="B36" s="37">
        <f>IF( ISERROR(IND_chemie_ele_kWh/1000),0,IND_chemie_ele_kWh/1000)</f>
        <v>11.856999999999999</v>
      </c>
      <c r="C36" s="39">
        <f>IF(ISERROR(B36*3.6/1000000/'E Balans VL '!Z24*100),0,B36*3.6/1000000/'E Balans VL '!Z24*100)</f>
        <v>3.6156765285806544E-4</v>
      </c>
      <c r="D36" s="237" t="s">
        <v>754</v>
      </c>
    </row>
    <row r="37" spans="1:5">
      <c r="A37" s="171" t="s">
        <v>270</v>
      </c>
      <c r="B37" s="37">
        <f>IF( ISERROR(IND_rest_ele_kWh/1000),0,IND_rest_ele_kWh/1000)</f>
        <v>242.02099999999999</v>
      </c>
      <c r="C37" s="39">
        <f>IF(ISERROR(B37*3.6/1000000/'E Balans VL '!Z15*100),0,B37*3.6/1000000/'E Balans VL '!Z15*100)</f>
        <v>1.9183136550560086E-3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1226.3405500000001</v>
      </c>
      <c r="C5" s="17">
        <f>'Eigen informatie GS &amp; warmtenet'!B60</f>
        <v>0</v>
      </c>
      <c r="D5" s="30">
        <f>IF(ISERROR(SUM(LB_lb_gas_kWh,LB_rest_gas_kWh)/1000),0,SUM(LB_lb_gas_kWh,LB_rest_gas_kWh)/1000)*0.902</f>
        <v>167.67368199999999</v>
      </c>
      <c r="E5" s="17">
        <f>B17*'E Balans VL '!I25/3.6*1000000/100</f>
        <v>36.045894440871287</v>
      </c>
      <c r="F5" s="17">
        <f>B17*('E Balans VL '!L25/3.6*1000000+'E Balans VL '!N25/3.6*1000000)/100</f>
        <v>5108.8684633349294</v>
      </c>
      <c r="G5" s="18"/>
      <c r="H5" s="17"/>
      <c r="I5" s="17"/>
      <c r="J5" s="17">
        <f>('E Balans VL '!D25+'E Balans VL '!E25)/3.6*1000000*landbouw!B17/100</f>
        <v>177.67040973022395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1226.3405500000001</v>
      </c>
      <c r="C8" s="21">
        <f>C5+C6</f>
        <v>0</v>
      </c>
      <c r="D8" s="21">
        <f>MAX((D5+D6),0)</f>
        <v>167.67368199999999</v>
      </c>
      <c r="E8" s="21">
        <f>MAX((E5+E6),0)</f>
        <v>36.045894440871287</v>
      </c>
      <c r="F8" s="21">
        <f>MAX((F5+F6),0)</f>
        <v>5108.8684633349294</v>
      </c>
      <c r="G8" s="21"/>
      <c r="H8" s="21"/>
      <c r="I8" s="21"/>
      <c r="J8" s="21">
        <f>MAX((J5+J6),0)</f>
        <v>177.67040973022395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0.19973047174722927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244.93757657425664</v>
      </c>
      <c r="C12" s="23">
        <f ca="1">C8*C10</f>
        <v>0</v>
      </c>
      <c r="D12" s="23">
        <f>D8*D10</f>
        <v>33.870083764</v>
      </c>
      <c r="E12" s="23">
        <f>E8*E10</f>
        <v>8.1824180380777829</v>
      </c>
      <c r="F12" s="23">
        <f>F8*F10</f>
        <v>1364.0678797104263</v>
      </c>
      <c r="G12" s="23"/>
      <c r="H12" s="23"/>
      <c r="I12" s="23"/>
      <c r="J12" s="23">
        <f>J8*J10</f>
        <v>62.895325044499273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0.17402157157113807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11.961050586514126</v>
      </c>
      <c r="C26" s="247">
        <f>B26*'GWP N2O_CH4'!B5</f>
        <v>251.18206231679665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0.74893609604166356</v>
      </c>
      <c r="C27" s="247">
        <f>B27*'GWP N2O_CH4'!B5</f>
        <v>15.727658016874935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0.15027007511097176</v>
      </c>
      <c r="C28" s="247">
        <f>B28*'GWP N2O_CH4'!B4</f>
        <v>46.583723284401245</v>
      </c>
      <c r="D28" s="50"/>
    </row>
    <row r="29" spans="1:4">
      <c r="A29" s="41" t="s">
        <v>277</v>
      </c>
      <c r="B29" s="247">
        <f>B34*'ha_N2O bodem landbouw'!B4</f>
        <v>9.2578595686515914</v>
      </c>
      <c r="C29" s="247">
        <f>B29*'GWP N2O_CH4'!B4</f>
        <v>2869.9364662819935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2.1126116495629038E-3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1.1400869237312759E-4</v>
      </c>
      <c r="C5" s="463" t="s">
        <v>211</v>
      </c>
      <c r="D5" s="448">
        <f>SUM(D6:D11)</f>
        <v>4.2448127681259009E-4</v>
      </c>
      <c r="E5" s="448">
        <f>SUM(E6:E11)</f>
        <v>5.6086652408299719E-4</v>
      </c>
      <c r="F5" s="461" t="s">
        <v>211</v>
      </c>
      <c r="G5" s="448">
        <f>SUM(G6:G11)</f>
        <v>0.20577345100395719</v>
      </c>
      <c r="H5" s="448">
        <f>SUM(H6:H11)</f>
        <v>4.7694189013144483E-2</v>
      </c>
      <c r="I5" s="463" t="s">
        <v>211</v>
      </c>
      <c r="J5" s="463" t="s">
        <v>211</v>
      </c>
      <c r="K5" s="463" t="s">
        <v>211</v>
      </c>
      <c r="L5" s="463" t="s">
        <v>211</v>
      </c>
      <c r="M5" s="448">
        <f>SUM(M6:M11)</f>
        <v>1.3429363102705818E-2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7.8646551479640781E-5</v>
      </c>
      <c r="C6" s="449"/>
      <c r="D6" s="892">
        <f>vkm_2011_GW_PW*SUMIFS(TableVerdeelsleutelVkm[CNG],TableVerdeelsleutelVkm[Voertuigtype],"Lichte voertuigen")*SUMIFS(TableECFTransport[EnergieConsumptieFactor (PJ per km)],TableECFTransport[Index],CONCATENATE($A6,"_CNG_CNG"))</f>
        <v>2.3589451542426235E-4</v>
      </c>
      <c r="E6" s="892">
        <f>vkm_2011_GW_PW*SUMIFS(TableVerdeelsleutelVkm[LPG],TableVerdeelsleutelVkm[Voertuigtype],"Lichte voertuigen")*SUMIFS(TableECFTransport[EnergieConsumptieFactor (PJ per km)],TableECFTransport[Index],CONCATENATE($A6,"_LPG_LPG"))</f>
        <v>3.2226579264677473E-4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8.3323161084910571E-2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2.6830286800821661E-2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5.659603323540284E-3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5.4630949660307494E-2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1.6650403349923982E-5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3.1924483837861817E-3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3.536214089348681E-5</v>
      </c>
      <c r="C8" s="449"/>
      <c r="D8" s="451">
        <f>vkm_2011_NGW_PW*SUMIFS(TableVerdeelsleutelVkm[CNG],TableVerdeelsleutelVkm[Voertuigtype],"Lichte voertuigen")*SUMIFS(TableECFTransport[EnergieConsumptieFactor (PJ per km)],TableECFTransport[Index],CONCATENATE($A8,"_CNG_CNG"))</f>
        <v>1.8858676138832771E-4</v>
      </c>
      <c r="E8" s="451">
        <f>vkm_2011_NGW_PW*SUMIFS(TableVerdeelsleutelVkm[LPG],TableVerdeelsleutelVkm[Voertuigtype],"Lichte voertuigen")*SUMIFS(TableECFTransport[EnergieConsumptieFactor (PJ per km)],TableECFTransport[Index],CONCATENATE($A8,"_LPG_LPG"))</f>
        <v>2.3860073143622246E-4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5.7489681677301042E-2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2.0844287984855048E-2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3.9736864374983853E-3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1.0329658581438089E-2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2.9638241178507637E-6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6.0362495788096539E-4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31.669081214757664</v>
      </c>
      <c r="C14" s="21"/>
      <c r="D14" s="21">
        <f t="shared" ref="D14:M14" si="0">((D5)*10^9/3600)+D12</f>
        <v>117.91146578127503</v>
      </c>
      <c r="E14" s="21">
        <f t="shared" si="0"/>
        <v>155.79625668972145</v>
      </c>
      <c r="F14" s="21"/>
      <c r="G14" s="21">
        <f t="shared" si="0"/>
        <v>57159.291945543664</v>
      </c>
      <c r="H14" s="21">
        <f t="shared" si="0"/>
        <v>13248.38583698458</v>
      </c>
      <c r="I14" s="21"/>
      <c r="J14" s="21"/>
      <c r="K14" s="21"/>
      <c r="L14" s="21"/>
      <c r="M14" s="21">
        <f t="shared" si="0"/>
        <v>3730.3786396405048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0.19973047174722927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6.3252805308248652</v>
      </c>
      <c r="C18" s="23"/>
      <c r="D18" s="23">
        <f t="shared" ref="D18:M18" si="1">D14*D16</f>
        <v>23.818116087817558</v>
      </c>
      <c r="E18" s="23">
        <f t="shared" si="1"/>
        <v>35.365750268566771</v>
      </c>
      <c r="F18" s="23"/>
      <c r="G18" s="23">
        <f t="shared" si="1"/>
        <v>15261.530949460159</v>
      </c>
      <c r="H18" s="23">
        <f t="shared" si="1"/>
        <v>3298.8480734091604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9.6087460648124363E-3</v>
      </c>
      <c r="H50" s="321">
        <f t="shared" si="2"/>
        <v>0</v>
      </c>
      <c r="I50" s="321">
        <f t="shared" si="2"/>
        <v>0</v>
      </c>
      <c r="J50" s="321">
        <f t="shared" si="2"/>
        <v>0</v>
      </c>
      <c r="K50" s="321">
        <f t="shared" si="2"/>
        <v>0</v>
      </c>
      <c r="L50" s="321">
        <f t="shared" si="2"/>
        <v>0</v>
      </c>
      <c r="M50" s="321">
        <f t="shared" si="2"/>
        <v>5.4573435793788341E-4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9.6087460648124363E-3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5.4573435793788341E-4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2669.0961291145659</v>
      </c>
      <c r="H54" s="21">
        <f t="shared" si="3"/>
        <v>0</v>
      </c>
      <c r="I54" s="21">
        <f t="shared" si="3"/>
        <v>0</v>
      </c>
      <c r="J54" s="21">
        <f t="shared" si="3"/>
        <v>0</v>
      </c>
      <c r="K54" s="21">
        <f t="shared" si="3"/>
        <v>0</v>
      </c>
      <c r="L54" s="21">
        <f t="shared" si="3"/>
        <v>0</v>
      </c>
      <c r="M54" s="21">
        <f t="shared" si="3"/>
        <v>151.59287720496761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0.19973047174722927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712.64866647358917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4287.506139715786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4287.506139715786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2019-08-12T08:32:14Z</dcterms:modified>
</cp:coreProperties>
</file>