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J19"/>
  <c r="I19"/>
  <c r="I89" i="14" s="1"/>
  <c r="I19" i="61" s="1"/>
  <c r="H19" i="18"/>
  <c r="M89" i="14" s="1"/>
  <c r="M19" i="61" s="1"/>
  <c r="G19" i="18"/>
  <c r="H89" i="14" s="1"/>
  <c r="H19" i="61" s="1"/>
  <c r="F19" i="18"/>
  <c r="G89" i="14" s="1"/>
  <c r="G19" i="61" s="1"/>
  <c r="E19" i="18"/>
  <c r="F89" i="14" s="1"/>
  <c r="F19" i="61" s="1"/>
  <c r="D19" i="18"/>
  <c r="C19"/>
  <c r="B19"/>
  <c r="N18"/>
  <c r="L88" i="14" s="1"/>
  <c r="M18" i="18"/>
  <c r="K88" i="14" s="1"/>
  <c r="K18" i="61" s="1"/>
  <c r="L18" i="18"/>
  <c r="L20" s="1"/>
  <c r="K18"/>
  <c r="N88" i="14" s="1"/>
  <c r="N18" i="61" s="1"/>
  <c r="N20" s="1"/>
  <c r="J18" i="18"/>
  <c r="I18"/>
  <c r="H18"/>
  <c r="G18"/>
  <c r="F18"/>
  <c r="G88" i="14" s="1"/>
  <c r="G18" i="61" s="1"/>
  <c r="E18" i="18"/>
  <c r="F88" i="14" s="1"/>
  <c r="F18" i="61" s="1"/>
  <c r="D18" i="18"/>
  <c r="E88" i="14" s="1"/>
  <c r="C18" i="18"/>
  <c r="B18"/>
  <c r="L9"/>
  <c r="O77" i="14" s="1"/>
  <c r="O9" i="61" s="1"/>
  <c r="K9" i="18"/>
  <c r="I9"/>
  <c r="G9"/>
  <c r="G10" s="1"/>
  <c r="F9"/>
  <c r="F10" s="1"/>
  <c r="E9"/>
  <c r="D9"/>
  <c r="K22"/>
  <c r="J22"/>
  <c r="I22"/>
  <c r="H22"/>
  <c r="K12"/>
  <c r="J12"/>
  <c r="I12"/>
  <c r="H12"/>
  <c r="W92"/>
  <c r="V92"/>
  <c r="U92"/>
  <c r="L6" i="17" s="1"/>
  <c r="T92" i="18"/>
  <c r="S92"/>
  <c r="R92"/>
  <c r="Q92"/>
  <c r="P92"/>
  <c r="O92"/>
  <c r="C6" i="17" s="1"/>
  <c r="N92" i="18"/>
  <c r="M92"/>
  <c r="W91"/>
  <c r="V91"/>
  <c r="U91"/>
  <c r="T91"/>
  <c r="S91"/>
  <c r="R91"/>
  <c r="Q91"/>
  <c r="P91"/>
  <c r="O91"/>
  <c r="N91"/>
  <c r="M91"/>
  <c r="W90"/>
  <c r="V90"/>
  <c r="U90"/>
  <c r="T90"/>
  <c r="S90"/>
  <c r="R90"/>
  <c r="Q90"/>
  <c r="P90"/>
  <c r="O90"/>
  <c r="N90"/>
  <c r="M90"/>
  <c r="W89"/>
  <c r="V89"/>
  <c r="J9" s="1"/>
  <c r="J77" i="14" s="1"/>
  <c r="J9" i="61" s="1"/>
  <c r="U89" i="18"/>
  <c r="T89"/>
  <c r="S89"/>
  <c r="R89"/>
  <c r="Q89"/>
  <c r="P89"/>
  <c r="C9" s="1"/>
  <c r="O89"/>
  <c r="N89"/>
  <c r="B9" s="1"/>
  <c r="M89"/>
  <c r="W61"/>
  <c r="V61"/>
  <c r="U61"/>
  <c r="T61"/>
  <c r="S61"/>
  <c r="F6" i="17" s="1"/>
  <c r="R61" i="18"/>
  <c r="N6" i="17" s="1"/>
  <c r="Q61" i="18"/>
  <c r="P61"/>
  <c r="D6" i="17" s="1"/>
  <c r="O61" i="18"/>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H88" i="14"/>
  <c r="H18" i="61" s="1"/>
  <c r="D20" i="18"/>
  <c r="D88" i="14"/>
  <c r="D18" i="61" s="1"/>
  <c r="B17" i="18"/>
  <c r="B20" s="1"/>
  <c r="G12"/>
  <c r="F12"/>
  <c r="E12"/>
  <c r="D12"/>
  <c r="C12"/>
  <c r="L10"/>
  <c r="K10"/>
  <c r="E77" i="14"/>
  <c r="E9" i="61" s="1"/>
  <c r="B8" i="18"/>
  <c r="B6"/>
  <c r="B5"/>
  <c r="B73" i="14" s="1"/>
  <c r="B5" i="61" s="1"/>
  <c r="B4" i="18"/>
  <c r="B19" i="6"/>
  <c r="B18"/>
  <c r="B5"/>
  <c r="B6"/>
  <c r="C64" i="14" s="1"/>
  <c r="D14" i="48"/>
  <c r="P7"/>
  <c r="O7"/>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28"/>
  <c r="O89" i="14"/>
  <c r="O19" i="61" s="1"/>
  <c r="N89" i="14"/>
  <c r="N19" i="61" s="1"/>
  <c r="L89" i="14"/>
  <c r="L19" i="61" s="1"/>
  <c r="K89" i="14"/>
  <c r="K19" i="61" s="1"/>
  <c r="J89" i="14"/>
  <c r="J19" i="61" s="1"/>
  <c r="E89" i="14"/>
  <c r="E19" i="61" s="1"/>
  <c r="D89" i="14"/>
  <c r="D19" i="61" s="1"/>
  <c r="M88" i="14"/>
  <c r="M18" i="61" s="1"/>
  <c r="J88" i="14"/>
  <c r="J18" i="61" s="1"/>
  <c r="I88" i="14"/>
  <c r="I18" i="61" s="1"/>
  <c r="O87" i="14"/>
  <c r="O17" i="61" s="1"/>
  <c r="N87" i="14"/>
  <c r="N17" i="61" s="1"/>
  <c r="L87" i="14"/>
  <c r="L17" i="61" s="1"/>
  <c r="K87" i="14"/>
  <c r="K17" i="61" s="1"/>
  <c r="H87" i="14"/>
  <c r="H17" i="61" s="1"/>
  <c r="G87" i="14"/>
  <c r="G17" i="61" s="1"/>
  <c r="E87" i="14"/>
  <c r="E17" i="61" s="1"/>
  <c r="N77" i="14"/>
  <c r="L77"/>
  <c r="L9" i="61" s="1"/>
  <c r="K77" i="14"/>
  <c r="K9" i="61" s="1"/>
  <c r="O76" i="14"/>
  <c r="O8" i="61" s="1"/>
  <c r="N76" i="14"/>
  <c r="N8" i="61" s="1"/>
  <c r="L76" i="14"/>
  <c r="K76"/>
  <c r="H76"/>
  <c r="H8" i="61" s="1"/>
  <c r="G76" i="14"/>
  <c r="G8" i="61" s="1"/>
  <c r="E76" i="14"/>
  <c r="E8" i="61" s="1"/>
  <c r="E10" s="1"/>
  <c r="B75" i="14"/>
  <c r="B7" i="61" s="1"/>
  <c r="B74" i="14"/>
  <c r="B6" i="61" s="1"/>
  <c r="C29" i="14"/>
  <c r="Q54"/>
  <c r="Q56" s="1"/>
  <c r="P54"/>
  <c r="P56" s="1"/>
  <c r="L54"/>
  <c r="J54"/>
  <c r="I54"/>
  <c r="H54"/>
  <c r="H56" s="1"/>
  <c r="Q24"/>
  <c r="P24"/>
  <c r="P26" s="1"/>
  <c r="N24"/>
  <c r="L24"/>
  <c r="L26" s="1"/>
  <c r="J24"/>
  <c r="I24"/>
  <c r="I26" s="1"/>
  <c r="H24"/>
  <c r="Q50"/>
  <c r="P50"/>
  <c r="O50"/>
  <c r="M50"/>
  <c r="L50"/>
  <c r="K50"/>
  <c r="J50"/>
  <c r="G50"/>
  <c r="D50"/>
  <c r="Q49"/>
  <c r="Q52" s="1"/>
  <c r="P49"/>
  <c r="Q20"/>
  <c r="P20"/>
  <c r="O20"/>
  <c r="M20"/>
  <c r="L20"/>
  <c r="K20"/>
  <c r="J20"/>
  <c r="G20"/>
  <c r="D20"/>
  <c r="Q19"/>
  <c r="Q22" s="1"/>
  <c r="P19"/>
  <c r="P22" s="1"/>
  <c r="O19"/>
  <c r="O22" s="1"/>
  <c r="M19"/>
  <c r="L19"/>
  <c r="K19"/>
  <c r="K22" s="1"/>
  <c r="J19"/>
  <c r="I19"/>
  <c r="G19"/>
  <c r="G22" s="1"/>
  <c r="F19"/>
  <c r="E19"/>
  <c r="D19"/>
  <c r="Q48"/>
  <c r="P48"/>
  <c r="O48"/>
  <c r="M48"/>
  <c r="L48"/>
  <c r="K48"/>
  <c r="J48"/>
  <c r="G48"/>
  <c r="D48"/>
  <c r="Q18"/>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K90"/>
  <c r="R78"/>
  <c r="L56"/>
  <c r="J56"/>
  <c r="I56"/>
  <c r="P52"/>
  <c r="R44"/>
  <c r="Q26"/>
  <c r="N26"/>
  <c r="J26"/>
  <c r="E25"/>
  <c r="C25"/>
  <c r="B14" i="48" s="1"/>
  <c r="Q14" s="1"/>
  <c r="H26" i="14"/>
  <c r="R12"/>
  <c r="D5" i="17"/>
  <c r="K78" i="14" l="1"/>
  <c r="K8" i="61"/>
  <c r="K10" s="1"/>
  <c r="N78" i="14"/>
  <c r="N9" i="61"/>
  <c r="N10" s="1"/>
  <c r="E90" i="14"/>
  <c r="E18" i="61"/>
  <c r="E20" s="1"/>
  <c r="L90" i="14"/>
  <c r="L18" i="61"/>
  <c r="L20" s="1"/>
  <c r="L78" i="14"/>
  <c r="L8" i="61"/>
  <c r="L10" s="1"/>
  <c r="B10" i="18"/>
  <c r="M77" i="14"/>
  <c r="M9" i="61" s="1"/>
  <c r="H9" i="18"/>
  <c r="P31" i="48"/>
  <c r="J22" i="14"/>
  <c r="G77"/>
  <c r="G9" i="61" s="1"/>
  <c r="G10" s="1"/>
  <c r="H20"/>
  <c r="P25" i="48"/>
  <c r="I77" i="14"/>
  <c r="I9" i="61" s="1"/>
  <c r="O9" i="18"/>
  <c r="O10" i="61"/>
  <c r="G20"/>
  <c r="K20"/>
  <c r="Q11" i="48"/>
  <c r="O25"/>
  <c r="O32"/>
  <c r="C98" i="18"/>
  <c r="F101" s="1"/>
  <c r="D13" i="15"/>
  <c r="B72" i="14"/>
  <c r="B4" i="61" s="1"/>
  <c r="O30" i="48"/>
  <c r="C13" i="15"/>
  <c r="L13"/>
  <c r="B13"/>
  <c r="H90" i="14"/>
  <c r="N13" i="15"/>
  <c r="F77" i="14"/>
  <c r="F9" i="61" s="1"/>
  <c r="H101" i="18"/>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D101" i="18"/>
  <c r="C101"/>
  <c r="B101"/>
  <c r="C8" s="1"/>
  <c r="I101"/>
  <c r="H8" s="1"/>
  <c r="E101"/>
  <c r="E8" s="1"/>
  <c r="E10" s="1"/>
  <c r="G101"/>
  <c r="I8" s="1"/>
  <c r="I10" s="1"/>
  <c r="B88" i="14"/>
  <c r="B18" i="61" s="1"/>
  <c r="B77" i="14"/>
  <c r="B9" i="61" s="1"/>
  <c r="Q77" i="14"/>
  <c r="P9" i="61" s="1"/>
  <c r="J17" i="18"/>
  <c r="H20"/>
  <c r="M87" i="14"/>
  <c r="J8" i="18"/>
  <c r="M76" i="14"/>
  <c r="H10" i="18"/>
  <c r="E20"/>
  <c r="F87" i="14"/>
  <c r="C77"/>
  <c r="C9" i="61" s="1"/>
  <c r="C20" i="18"/>
  <c r="D87" i="14"/>
  <c r="D17" i="61" s="1"/>
  <c r="D20" s="1"/>
  <c r="D76" i="14"/>
  <c r="D8" i="61" s="1"/>
  <c r="D10" s="1"/>
  <c r="C10" i="18"/>
  <c r="C88" i="14"/>
  <c r="C18" i="61" s="1"/>
  <c r="I17" i="18"/>
  <c r="I76" i="14"/>
  <c r="I8" i="61" s="1"/>
  <c r="I10" s="1"/>
  <c r="Q88" i="14"/>
  <c r="P18" i="61" s="1"/>
  <c r="AC15" i="5"/>
  <c r="M78" i="14" l="1"/>
  <c r="M8" i="61"/>
  <c r="M10" s="1"/>
  <c r="F90" i="14"/>
  <c r="F17" i="61"/>
  <c r="F20" s="1"/>
  <c r="M90" i="14"/>
  <c r="M17" i="61"/>
  <c r="M20" s="1"/>
  <c r="O8" i="18"/>
  <c r="O10" s="1"/>
  <c r="F76" i="14"/>
  <c r="I78"/>
  <c r="D78"/>
  <c r="J87"/>
  <c r="J20" i="18"/>
  <c r="I87" i="14"/>
  <c r="I17" i="61" s="1"/>
  <c r="I20" s="1"/>
  <c r="I20" i="18"/>
  <c r="O17"/>
  <c r="O20" s="1"/>
  <c r="Q87" i="14"/>
  <c r="D90"/>
  <c r="J10" i="18"/>
  <c r="J76" i="14"/>
  <c r="D5" i="13"/>
  <c r="J78" i="14" l="1"/>
  <c r="J8" i="61"/>
  <c r="J10" s="1"/>
  <c r="J90" i="14"/>
  <c r="J17" i="61"/>
  <c r="J20" s="1"/>
  <c r="F78" i="14"/>
  <c r="F8" i="61"/>
  <c r="F10" s="1"/>
  <c r="Q90" i="14"/>
  <c r="B17" i="6" s="1"/>
  <c r="P17" i="61"/>
  <c r="P20" s="1"/>
  <c r="Q76" i="14"/>
  <c r="I90"/>
  <c r="B87"/>
  <c r="C87"/>
  <c r="C76"/>
  <c r="B76"/>
  <c r="B26" i="17"/>
  <c r="C90" i="14" l="1"/>
  <c r="C17" i="61"/>
  <c r="C20" s="1"/>
  <c r="C78" i="14"/>
  <c r="C8" i="61"/>
  <c r="C10" s="1"/>
  <c r="B78" i="14"/>
  <c r="B4" i="6" s="1"/>
  <c r="B8" i="61"/>
  <c r="B10" s="1"/>
  <c r="Q78" i="14"/>
  <c r="B9" i="6" s="1"/>
  <c r="P8" i="61"/>
  <c r="P10" s="1"/>
  <c r="B90" i="14"/>
  <c r="B17" i="61"/>
  <c r="B20" s="1"/>
  <c r="H14" i="15"/>
  <c r="H16" s="1"/>
  <c r="G14"/>
  <c r="G16" s="1"/>
  <c r="G5" i="48" l="1"/>
  <c r="H10" i="14"/>
  <c r="H16" s="1"/>
  <c r="H5" i="48"/>
  <c r="I10" i="14"/>
  <c r="I16" s="1"/>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B4" i="48" l="1"/>
  <c r="C11" i="14"/>
  <c r="F30" i="48"/>
  <c r="F32"/>
  <c r="F24"/>
  <c r="F31"/>
  <c r="F29"/>
  <c r="F28"/>
  <c r="F27"/>
  <c r="N32"/>
  <c r="N24"/>
  <c r="N27"/>
  <c r="N31"/>
  <c r="N30"/>
  <c r="N28"/>
  <c r="N29"/>
  <c r="B10"/>
  <c r="C19" i="14"/>
  <c r="E31" i="48"/>
  <c r="E29"/>
  <c r="E30"/>
  <c r="E28"/>
  <c r="E32"/>
  <c r="E24"/>
  <c r="M29"/>
  <c r="M25"/>
  <c r="M32"/>
  <c r="M22"/>
  <c r="M26"/>
  <c r="M24"/>
  <c r="M30"/>
  <c r="M23"/>
  <c r="L10" i="14"/>
  <c r="L16" s="1"/>
  <c r="L27" s="1"/>
  <c r="K5" i="48"/>
  <c r="D30"/>
  <c r="D28"/>
  <c r="D24"/>
  <c r="D29"/>
  <c r="D31"/>
  <c r="D32"/>
  <c r="L29"/>
  <c r="L32"/>
  <c r="L22"/>
  <c r="L30"/>
  <c r="L28"/>
  <c r="L27"/>
  <c r="L31"/>
  <c r="L24"/>
  <c r="P5"/>
  <c r="P23" s="1"/>
  <c r="Q10" i="14"/>
  <c r="K32" i="48"/>
  <c r="K24"/>
  <c r="K31"/>
  <c r="K22"/>
  <c r="K30"/>
  <c r="K25"/>
  <c r="K27"/>
  <c r="K26"/>
  <c r="K28"/>
  <c r="K29"/>
  <c r="B7"/>
  <c r="C24" i="14"/>
  <c r="C26" s="1"/>
  <c r="J24" i="48"/>
  <c r="J31"/>
  <c r="J29"/>
  <c r="J30"/>
  <c r="J32"/>
  <c r="J28"/>
  <c r="J27"/>
  <c r="P4"/>
  <c r="Q11" i="14"/>
  <c r="O4" i="48"/>
  <c r="P11" i="14"/>
  <c r="I29" i="48"/>
  <c r="I25"/>
  <c r="I27"/>
  <c r="I31"/>
  <c r="I24"/>
  <c r="I28"/>
  <c r="I30"/>
  <c r="I22"/>
  <c r="I32"/>
  <c r="I26"/>
  <c r="E11" i="14"/>
  <c r="D4" i="48"/>
  <c r="D22" s="1"/>
  <c r="H29"/>
  <c r="H32"/>
  <c r="H28"/>
  <c r="H26"/>
  <c r="H24"/>
  <c r="H22"/>
  <c r="H30"/>
  <c r="H25"/>
  <c r="H23"/>
  <c r="D11" i="14"/>
  <c r="C4" i="48"/>
  <c r="G23"/>
  <c r="G22"/>
  <c r="G30"/>
  <c r="G32"/>
  <c r="G26"/>
  <c r="G29"/>
  <c r="G24"/>
  <c r="G25"/>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E9" i="48" l="1"/>
  <c r="E27" s="1"/>
  <c r="F20" i="14"/>
  <c r="F22" s="1"/>
  <c r="P8" i="48"/>
  <c r="P26" s="1"/>
  <c r="Q13" i="14"/>
  <c r="Q16" s="1"/>
  <c r="Q27" s="1"/>
  <c r="D9" i="48"/>
  <c r="D27" s="1"/>
  <c r="E20" i="14"/>
  <c r="E22" s="1"/>
  <c r="O5" i="48"/>
  <c r="O23" s="1"/>
  <c r="P10" i="14"/>
  <c r="B9" i="48"/>
  <c r="C20" i="14"/>
  <c r="K24"/>
  <c r="K26" s="1"/>
  <c r="J7" i="48"/>
  <c r="J25" s="1"/>
  <c r="P15"/>
  <c r="P22"/>
  <c r="P33" s="1"/>
  <c r="G11" i="14"/>
  <c r="F4" i="48"/>
  <c r="F22" s="1"/>
  <c r="J10" i="14"/>
  <c r="J16" s="1"/>
  <c r="J27" s="1"/>
  <c r="J63" s="1"/>
  <c r="I5" i="48"/>
  <c r="O22"/>
  <c r="H18" i="14"/>
  <c r="G13" i="48"/>
  <c r="G31" s="1"/>
  <c r="K23"/>
  <c r="K15"/>
  <c r="C22" i="14"/>
  <c r="L61"/>
  <c r="L63" s="1"/>
  <c r="K33" i="48"/>
  <c r="I20" i="15"/>
  <c r="J40" i="14" s="1"/>
  <c r="J46" s="1"/>
  <c r="J61"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M14" s="1"/>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E4" i="48"/>
  <c r="G10"/>
  <c r="H19" i="14"/>
  <c r="E7" i="48"/>
  <c r="E25" s="1"/>
  <c r="F24" i="14"/>
  <c r="F26" s="1"/>
  <c r="P13"/>
  <c r="O8" i="48"/>
  <c r="O26" s="1"/>
  <c r="I15"/>
  <c r="I23"/>
  <c r="I33" s="1"/>
  <c r="J4"/>
  <c r="K11" i="14"/>
  <c r="O11"/>
  <c r="N4" i="48"/>
  <c r="N22" s="1"/>
  <c r="Q63" i="14"/>
  <c r="O15" i="48"/>
  <c r="N19" i="14"/>
  <c r="N22" s="1"/>
  <c r="N27" s="1"/>
  <c r="M10" i="48"/>
  <c r="M28" s="1"/>
  <c r="O33"/>
  <c r="H14" i="22"/>
  <c r="I20" i="14" s="1"/>
  <c r="I22" s="1"/>
  <c r="I27" s="1"/>
  <c r="P16"/>
  <c r="P27" s="1"/>
  <c r="H9" i="48"/>
  <c r="M9"/>
  <c r="N20" i="14"/>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H22" l="1"/>
  <c r="H27" s="1"/>
  <c r="R19"/>
  <c r="R22" s="1"/>
  <c r="G9" i="48"/>
  <c r="H20" i="14"/>
  <c r="K10"/>
  <c r="J5" i="48"/>
  <c r="J23" s="1"/>
  <c r="E22"/>
  <c r="Q4"/>
  <c r="E5"/>
  <c r="E23" s="1"/>
  <c r="F10" i="14"/>
  <c r="J22" i="48"/>
  <c r="G28"/>
  <c r="Q10"/>
  <c r="R11" i="14"/>
  <c r="Q7" i="48"/>
  <c r="N52" i="14"/>
  <c r="N61" s="1"/>
  <c r="M15" i="48"/>
  <c r="M27"/>
  <c r="M33" s="1"/>
  <c r="H15"/>
  <c r="H27"/>
  <c r="H33" s="1"/>
  <c r="N63" i="14"/>
  <c r="R20"/>
  <c r="R24"/>
  <c r="R26" s="1"/>
  <c r="N18" i="16"/>
  <c r="E20" i="15"/>
  <c r="F40" i="14" s="1"/>
  <c r="F18" i="16"/>
  <c r="J18"/>
  <c r="E18"/>
  <c r="G18" i="22"/>
  <c r="H50" i="14" s="1"/>
  <c r="H52" s="1"/>
  <c r="H61" s="1"/>
  <c r="H18" i="22"/>
  <c r="I50" i="14" s="1"/>
  <c r="I52" s="1"/>
  <c r="I61" s="1"/>
  <c r="I63" s="1"/>
  <c r="G27" i="48" l="1"/>
  <c r="G33" s="1"/>
  <c r="G15"/>
  <c r="H63" i="14"/>
  <c r="F16"/>
  <c r="F27" s="1"/>
  <c r="E8" i="48"/>
  <c r="E26" s="1"/>
  <c r="E33" s="1"/>
  <c r="F13" i="14"/>
  <c r="K13"/>
  <c r="J8" i="48"/>
  <c r="K16" i="14"/>
  <c r="K27" s="1"/>
  <c r="K63" s="1"/>
  <c r="Q9" i="48"/>
  <c r="E15"/>
  <c r="N8"/>
  <c r="N26" s="1"/>
  <c r="O13" i="14"/>
  <c r="F8" i="48"/>
  <c r="G13" i="14"/>
  <c r="R13" s="1"/>
  <c r="E22" i="16"/>
  <c r="F43" i="14" s="1"/>
  <c r="F46" s="1"/>
  <c r="F61" s="1"/>
  <c r="F22" i="16"/>
  <c r="G43" i="14" s="1"/>
  <c r="N22" i="16"/>
  <c r="O43" i="14" s="1"/>
  <c r="J22" i="16"/>
  <c r="K43" i="14" s="1"/>
  <c r="K46" s="1"/>
  <c r="K61" s="1"/>
  <c r="J26" i="48" l="1"/>
  <c r="J33" s="1"/>
  <c r="J15"/>
  <c r="F6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<sst xmlns="http://schemas.openxmlformats.org/spreadsheetml/2006/main" count="2383" uniqueCount="881">
  <si>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</si>
  <si>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</si>
  <si>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</si>
  <si>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</si>
  <si>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</si>
  <si>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</si>
  <si>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</si>
  <si>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</si>
  <si>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</si>
  <si>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</si>
  <si>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</si>
  <si>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</si>
  <si>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</si>
  <si>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</si>
  <si>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</si>
  <si>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</si>
  <si>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</si>
  <si>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</si>
  <si>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</si>
  <si>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</si>
  <si>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</si>
  <si>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</si>
  <si>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</si>
  <si>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</si>
  <si>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</si>
  <si>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</si>
  <si>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</si>
  <si>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</si>
  <si>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</si>
  <si>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</si>
  <si>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</si>
  <si>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</si>
  <si>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</si>
  <si>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</si>
  <si>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</si>
  <si>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</si>
  <si>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</si>
  <si>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</si>
  <si>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</si>
  <si>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</si>
  <si>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</si>
  <si>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</si>
  <si>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</si>
  <si>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</si>
  <si>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</si>
  <si>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</si>
  <si>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</si>
  <si>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</si>
  <si>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</si>
  <si>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</si>
  <si>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</si>
  <si>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</si>
  <si>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</si>
  <si>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</si>
  <si>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</si>
  <si>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</si>
  <si>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</si>
  <si>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</si>
  <si>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</si>
  <si>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</si>
  <si>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</si>
  <si>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</si>
  <si>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</si>
  <si>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</si>
  <si>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</si>
  <si>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</si>
  <si>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</si>
  <si>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</si>
  <si>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</si>
  <si>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</si>
  <si>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</si>
  <si>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</si>
  <si>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</si>
  <si>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</si>
  <si>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</si>
  <si>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</si>
  <si>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</si>
  <si>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</si>
  <si>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</si>
  <si>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</si>
  <si>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</si>
  <si>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</si>
  <si>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</si>
  <si>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</si>
  <si>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</si>
  <si>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</si>
  <si>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</si>
  <si>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</si>
  <si>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</si>
  <si>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</si>
  <si>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</si>
  <si>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</si>
  <si>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</si>
  <si>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</si>
  <si>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</si>
  <si>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</si>
  <si>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</si>
  <si>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</si>
  <si>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</si>
  <si>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</si>
  <si>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</si>
  <si>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</si>
  <si>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</si>
  <si>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</si>
  <si>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</si>
  <si>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</si>
  <si>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</si>
  <si>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</si>
  <si>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</si>
  <si>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</si>
  <si>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</si>
  <si>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</si>
  <si>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</si>
  <si>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</si>
  <si>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</si>
  <si>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</si>
  <si>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</si>
  <si>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</si>
  <si>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</si>
  <si>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</si>
  <si>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</si>
  <si>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</si>
  <si>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</si>
  <si>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</si>
  <si>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</si>
  <si>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</si>
  <si>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</si>
  <si>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</si>
  <si>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</si>
  <si>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</si>
  <si>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</si>
  <si>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</si>
  <si>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</si>
  <si>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</si>
  <si>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</si>
  <si>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</si>
  <si>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</si>
  <si>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</si>
  <si>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</si>
  <si>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</si>
  <si>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</si>
  <si>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</si>
  <si>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</si>
  <si>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</si>
  <si>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</si>
  <si>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</si>
  <si>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</si>
  <si>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</si>
  <si>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</si>
  <si>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</si>
  <si>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</si>
  <si>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</si>
  <si>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</si>
  <si>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</si>
  <si>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</si>
  <si>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</si>
  <si>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</si>
  <si>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</si>
  <si>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</si>
  <si>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</si>
  <si>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</si>
  <si>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</si>
  <si>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</si>
  <si>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</si>
  <si>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</si>
  <si>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</si>
  <si>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</si>
  <si>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</si>
  <si>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</si>
  <si>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</si>
  <si>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</si>
  <si>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</si>
  <si>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</si>
  <si>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</si>
  <si>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</si>
  <si>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</si>
  <si>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</si>
  <si>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</si>
  <si>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</si>
  <si>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</si>
  <si>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</si>
  <si>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</si>
  <si>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</si>
  <si>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</si>
  <si>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</si>
  <si>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</si>
  <si>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</si>
  <si>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</si>
  <si>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</si>
  <si>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</si>
  <si>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</si>
  <si>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</si>
  <si>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</si>
  <si>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</si>
  <si>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</si>
  <si>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</si>
  <si>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</si>
  <si>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</si>
  <si>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</si>
  <si>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</si>
  <si>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</si>
  <si>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</si>
  <si>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</si>
  <si>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</si>
  <si>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</si>
  <si>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</si>
  <si>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</si>
  <si>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</si>
  <si>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</si>
  <si>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</si>
  <si>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</si>
  <si>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</si>
  <si>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</si>
  <si>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</si>
  <si>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</si>
  <si>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</si>
  <si>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</si>
  <si>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</si>
  <si>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</si>
  <si>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</si>
  <si>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</si>
  <si>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</si>
  <si>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</si>
  <si>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</si>
  <si>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</si>
  <si>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</si>
  <si>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</si>
  <si>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</si>
  <si>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</si>
  <si>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</si>
  <si>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</si>
  <si>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</si>
  <si>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</si>
  <si>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</si>
  <si>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</si>
  <si>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</si>
  <si>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</si>
  <si>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</si>
  <si>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</si>
  <si>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</si>
  <si>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</si>
  <si>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</si>
  <si>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</si>
  <si>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</si>
  <si>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</si>
  <si>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</si>
  <si>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</si>
  <si>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</si>
  <si>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</si>
  <si>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</si>
  <si>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</si>
  <si>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</si>
  <si>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</si>
  <si>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</si>
  <si>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</si>
  <si>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</si>
  <si>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</si>
  <si>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</si>
  <si>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</si>
  <si>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</si>
  <si>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</si>
  <si>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</si>
  <si>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</si>
  <si>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</si>
  <si>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</si>
  <si>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</si>
  <si>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</si>
  <si>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</si>
  <si>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</si>
  <si>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</si>
  <si>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</si>
  <si>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</si>
  <si>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</si>
  <si>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</si>
  <si>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</si>
  <si>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</si>
  <si>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</si>
  <si>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</si>
  <si>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</si>
  <si>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</si>
  <si>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</si>
  <si>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</si>
  <si>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</si>
  <si>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</si>
  <si>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</si>
  <si>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</si>
  <si>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</si>
  <si>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</si>
  <si>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</si>
  <si>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</si>
  <si>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</si>
  <si>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</si>
  <si>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</si>
  <si>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</si>
  <si>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</si>
  <si>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</si>
  <si>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</si>
  <si>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</si>
  <si>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</si>
  <si>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</si>
  <si>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</si>
  <si>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</si>
  <si>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</si>
  <si>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</si>
  <si>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</si>
  <si>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</si>
  <si>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</si>
  <si>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</si>
  <si>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</si>
  <si>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</si>
  <si>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</si>
  <si>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</si>
  <si>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</si>
  <si>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</si>
  <si>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</si>
  <si>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</si>
  <si>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</si>
  <si>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</si>
  <si>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</si>
  <si>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</si>
  <si>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</si>
  <si>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</si>
  <si>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</si>
  <si>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</si>
  <si>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</si>
  <si>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</si>
  <si>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</si>
  <si>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</si>
  <si>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</si>
  <si>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</si>
  <si>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</si>
  <si>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</si>
  <si>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</si>
  <si>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</si>
  <si>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</si>
  <si>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</si>
  <si>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</si>
  <si>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</si>
  <si>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</si>
  <si>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</si>
  <si>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</si>
  <si>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</si>
  <si>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</si>
  <si>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</si>
  <si>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</si>
  <si>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</si>
  <si>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</si>
  <si>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</si>
  <si>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</si>
  <si>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</si>
  <si>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</si>
  <si>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</si>
  <si>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</si>
  <si>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</si>
  <si>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</si>
  <si>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</si>
  <si>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</si>
  <si>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</si>
  <si>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</si>
  <si>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</si>
  <si>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</si>
  <si>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</si>
  <si>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</si>
  <si>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</si>
  <si>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</si>
  <si>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</si>
  <si>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</si>
  <si>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</si>
  <si>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</si>
  <si>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</si>
  <si>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</si>
  <si>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</si>
  <si>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</si>
  <si>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</si>
  <si>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</si>
  <si>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</si>
  <si>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</si>
  <si>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</si>
  <si>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</si>
  <si>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</si>
  <si>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</si>
  <si>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</si>
  <si>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</si>
  <si>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</si>
  <si>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</si>
  <si>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</si>
  <si>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</si>
  <si>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</si>
  <si>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</si>
  <si>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</si>
  <si>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</si>
  <si>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</si>
  <si>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</si>
  <si>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</si>
  <si>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</si>
  <si>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</si>
  <si>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</si>
  <si>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</si>
  <si>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</si>
  <si>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</si>
  <si>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</si>
  <si>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</si>
  <si>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</si>
  <si>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</si>
  <si>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</si>
  <si>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</si>
  <si>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</si>
  <si>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</si>
  <si>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</si>
  <si>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</si>
  <si>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</si>
  <si>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</si>
  <si>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</si>
  <si>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</si>
  <si>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</si>
  <si>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</si>
  <si>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</si>
  <si>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</si>
  <si>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</si>
  <si>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</si>
  <si>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</si>
  <si>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</si>
  <si>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</si>
  <si>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</si>
  <si>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</si>
  <si>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</si>
  <si>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</si>
  <si>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</si>
  <si>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</si>
  <si>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</si>
  <si>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</si>
  <si>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</si>
  <si>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</si>
  <si>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</si>
  <si>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</si>
  <si>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</si>
  <si>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</si>
  <si>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</si>
  <si>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</si>
  <si>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</si>
  <si>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</si>
  <si>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</si>
  <si>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</si>
  <si>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</si>
  <si>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</si>
  <si>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</si>
  <si>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</si>
  <si>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</si>
  <si>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</si>
  <si>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</si>
  <si>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</si>
  <si>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</si>
  <si>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</si>
  <si>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</si>
  <si>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</si>
  <si>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</si>
  <si>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</si>
  <si>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</si>
  <si>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</si>
  <si>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</si>
  <si>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</si>
  <si>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</si>
  <si>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</si>
  <si>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</si>
  <si>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</si>
  <si>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</si>
  <si>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</si>
  <si>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</si>
  <si>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</si>
  <si>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</si>
  <si>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</si>
  <si>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</si>
  <si>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</si>
  <si>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</si>
  <si>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</si>
  <si>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</si>
  <si>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</si>
  <si>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</si>
  <si>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</si>
  <si>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</si>
  <si>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</si>
  <si>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</si>
  <si>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</si>
  <si>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</si>
  <si>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</si>
  <si>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</si>
  <si>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</si>
  <si>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</si>
  <si>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</si>
  <si>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</si>
  <si>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</si>
  <si>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</si>
  <si>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</si>
  <si>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</si>
  <si>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</si>
  <si>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</si>
  <si>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</si>
  <si>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</si>
  <si>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</si>
  <si>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</si>
  <si>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</si>
  <si>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</si>
  <si>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</si>
  <si>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</si>
  <si>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</si>
  <si>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</si>
  <si>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</si>
  <si>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</si>
  <si>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</si>
  <si>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</si>
  <si>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</si>
  <si>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</si>
  <si>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</si>
  <si>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</si>
  <si>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</si>
  <si>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</si>
  <si>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</si>
  <si>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</si>
  <si>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</si>
  <si>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</si>
  <si>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</si>
  <si>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</si>
  <si>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</si>
  <si>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</si>
  <si>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</si>
  <si>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</si>
  <si>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</si>
  <si>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</si>
  <si>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</si>
  <si>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</si>
  <si>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</si>
  <si>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</si>
  <si>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</si>
  <si>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</si>
  <si>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</si>
  <si>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</si>
  <si>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</si>
  <si>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</si>
  <si>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</si>
  <si>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</si>
  <si>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</si>
  <si>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</si>
  <si>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</si>
  <si>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</si>
  <si>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</si>
  <si>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</si>
  <si>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</si>
  <si>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</si>
  <si>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</si>
  <si>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</si>
  <si>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</si>
  <si>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</si>
  <si>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</si>
  <si>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</si>
  <si>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</si>
  <si>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</si>
  <si>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</si>
  <si>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</si>
  <si>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</si>
  <si>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</si>
  <si>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</si>
  <si>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</si>
  <si>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</si>
  <si>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</si>
  <si>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</si>
  <si>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</si>
  <si>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</si>
  <si>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</si>
  <si>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</si>
  <si>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</si>
  <si>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</si>
  <si>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</si>
  <si>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</si>
  <si>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</si>
  <si>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</si>
  <si>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</si>
  <si>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</si>
  <si>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</si>
  <si>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</si>
  <si>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</si>
  <si>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</si>
  <si>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</si>
  <si>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</si>
  <si>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</si>
  <si>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</si>
  <si>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</si>
  <si>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</si>
  <si>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</si>
  <si>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</si>
  <si>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</si>
  <si>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</si>
  <si>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</si>
  <si>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</si>
  <si>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</si>
  <si>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</si>
  <si>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</si>
  <si>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</si>
  <si>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</si>
  <si>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</si>
  <si>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</si>
  <si>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</si>
  <si>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</si>
  <si>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</si>
  <si>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</si>
  <si>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</si>
  <si>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</si>
  <si>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</si>
  <si>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</si>
  <si>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</si>
  <si>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</si>
  <si>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</si>
  <si>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</si>
  <si>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</si>
  <si>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</si>
  <si>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</si>
  <si>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</si>
  <si>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</si>
  <si>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</si>
  <si>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</si>
  <si>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</si>
  <si>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</si>
  <si>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</si>
  <si>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</si>
  <si>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</si>
  <si>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</si>
  <si>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</si>
  <si>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</si>
  <si>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</si>
  <si>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</si>
  <si>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</si>
  <si>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</si>
  <si>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</si>
  <si>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</si>
  <si>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</si>
  <si>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</si>
  <si>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</si>
  <si>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</si>
  <si>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</si>
  <si>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</si>
  <si>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</si>
  <si>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</si>
  <si>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</si>
  <si>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</si>
  <si>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</si>
  <si>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</si>
  <si>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</si>
  <si>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</si>
  <si>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</si>
  <si>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</si>
  <si>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</si>
  <si>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</si>
  <si>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</si>
  <si>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</si>
  <si>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</si>
  <si>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</si>
  <si>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</si>
  <si>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</si>
  <si>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</si>
  <si>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</si>
  <si>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</si>
  <si>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</si>
  <si>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</si>
  <si>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</si>
  <si>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</si>
  <si>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</si>
  <si>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</si>
  <si>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</si>
  <si>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</si>
  <si>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</si>
  <si>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</si>
  <si>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</si>
  <si>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</si>
  <si>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</si>
  <si>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</si>
  <si>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</si>
  <si>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</si>
  <si>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</si>
  <si>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</si>
  <si>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</si>
  <si>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</si>
  <si>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</si>
  <si>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</si>
  <si>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</si>
  <si>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</si>
  <si>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</si>
  <si>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</si>
  <si>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</si>
  <si>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</si>
  <si>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</si>
  <si>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</si>
  <si>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</si>
  <si>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</si>
  <si>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</si>
  <si>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</si>
  <si>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</si>
  <si>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</si>
  <si>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</si>
  <si>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</si>
  <si>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</si>
  <si>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</si>
  <si>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</si>
  <si>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</si>
  <si>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</si>
  <si>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</si>
  <si>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</si>
  <si>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</si>
  <si>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</si>
  <si>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</si>
  <si>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</si>
  <si>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</si>
  <si>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</si>
  <si>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</si>
  <si>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</si>
  <si>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</si>
  <si>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</si>
  <si>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</si>
  <si>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</si>
  <si>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</si>
  <si>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</si>
  <si>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</si>
  <si>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</si>
  <si>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</si>
  <si>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</si>
  <si>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</si>
  <si>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</si>
  <si>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</si>
  <si>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</si>
  <si>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</si>
  <si>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</si>
  <si>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</si>
  <si>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</si>
  <si>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</si>
  <si>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</si>
  <si>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</si>
  <si>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</si>
  <si>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</si>
  <si>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</si>
  <si>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</si>
  <si>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</si>
  <si>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</si>
  <si>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</si>
  <si>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</si>
  <si>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</si>
  <si>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</si>
  <si>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</si>
  <si>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</si>
  <si>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</si>
  <si>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</si>
  <si>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</si>
  <si>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</si>
  <si>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</si>
  <si>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</si>
  <si>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</si>
  <si>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</si>
  <si>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</si>
  <si>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</si>
  <si>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</si>
  <si>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</si>
  <si>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</si>
  <si>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</si>
  <si>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</si>
  <si>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</si>
  <si>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</si>
  <si>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</si>
  <si>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</si>
  <si>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</si>
  <si>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</si>
  <si>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</si>
  <si>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</si>
  <si>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</si>
  <si>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</si>
  <si>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</si>
  <si>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</si>
  <si>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</si>
  <si>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</si>
  <si>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</si>
  <si>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</si>
  <si>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</si>
  <si>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</si>
  <si>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</si>
  <si>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</si>
  <si>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</si>
  <si>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</si>
  <si>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</si>
  <si>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</si>
  <si>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</si>
  <si>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</si>
  <si>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</si>
  <si>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</si>
  <si>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</si>
  <si>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</si>
  <si>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</si>
  <si>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</si>
  <si>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</si>
  <si>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</si>
  <si>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</si>
  <si>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</si>
  <si>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</si>
  <si>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</si>
  <si>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</si>
  <si>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</si>
  <si>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</si>
  <si>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</si>
  <si>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</si>
  <si>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</si>
  <si>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</si>
  <si>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</si>
  <si>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</si>
  <si>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</si>
  <si>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</si>
  <si>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</si>
  <si>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</si>
  <si>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</si>
  <si>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</si>
  <si>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</si>
  <si>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</si>
  <si>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</si>
  <si>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</si>
  <si>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</si>
  <si>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</si>
  <si>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</si>
  <si>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</si>
  <si>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</si>
  <si>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</si>
  <si>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</si>
  <si>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</si>
  <si>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</si>
  <si>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</si>
  <si>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</si>
  <si>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</si>
  <si>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</si>
  <si>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</si>
  <si>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</si>
  <si>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</si>
  <si>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</si>
  <si>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</si>
  <si>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</si>
  <si>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</si>
  <si>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</si>
  <si>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</si>
  <si>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</si>
  <si>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</si>
  <si>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</si>
  <si>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</si>
  <si>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</si>
  <si>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</si>
  <si>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</si>
  <si>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</si>
  <si>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</si>
  <si>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</si>
  <si>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</si>
  <si>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</si>
  <si>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</si>
  <si>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</si>
  <si>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</si>
  <si>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</si>
  <si>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</si>
  <si>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</si>
  <si>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</si>
  <si>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</si>
  <si>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</si>
  <si>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</si>
  <si>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</si>
  <si>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</si>
  <si>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</si>
  <si>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</si>
  <si>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</si>
  <si>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</si>
  <si>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</si>
  <si>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</si>
  <si>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</si>
  <si>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</si>
  <si>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</si>
  <si>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23032</t>
  </si>
  <si>
    <t>HERNE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</si>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</sst>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70060.396530809652</c:v>
                </c:pt>
                <c:pt idx="1">
                  <c:v>7136.9730080197796</c:v>
                </c:pt>
                <c:pt idx="2">
                  <c:v>569.34400000000005</c:v>
                </c:pt>
                <c:pt idx="3">
                  <c:v>5150.1474399574508</c:v>
                </c:pt>
                <c:pt idx="4">
                  <c:v>31625.468092858187</c:v>
                </c:pt>
                <c:pt idx="5">
                  <c:v>52285.559821270916</c:v>
                </c:pt>
                <c:pt idx="6">
                  <c:v>388.20985229939339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44480"/>
        <c:axId val="176646016"/>
      </c:barChart>
      <c:catAx>
        <c:axId val="176644480"/>
        <c:scaling>
          <c:orientation val="minMax"/>
        </c:scaling>
        <c:axPos val="b"/>
        <c:numFmt formatCode="General" sourceLinked="0"/>
        <c:tickLblPos val="nextTo"/>
        <c:crossAx val="176646016"/>
        <c:crosses val="autoZero"/>
        <c:auto val="1"/>
        <c:lblAlgn val="ctr"/>
        <c:lblOffset val="100"/>
      </c:catAx>
      <c:valAx>
        <c:axId val="176646016"/>
        <c:scaling>
          <c:orientation val="minMax"/>
        </c:scaling>
        <c:axPos val="l"/>
        <c:majorGridlines>
          <c:spPr>
            <a:ln>
              <a:noFill/>
            </a:ln>
          </c:spPr>
        </c:majorGridlines>
        <c:numFmt formatCode="#,##0" sourceLinked="1"/>
        <c:tickLblPos val="nextTo"/>
        <c:crossAx val="17664448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70060.396530809652</c:v>
                </c:pt>
                <c:pt idx="1">
                  <c:v>7136.9730080197796</c:v>
                </c:pt>
                <c:pt idx="2">
                  <c:v>569.34400000000005</c:v>
                </c:pt>
                <c:pt idx="3">
                  <c:v>5150.1474399574508</c:v>
                </c:pt>
                <c:pt idx="4">
                  <c:v>31625.468092858187</c:v>
                </c:pt>
                <c:pt idx="5">
                  <c:v>52285.559821270916</c:v>
                </c:pt>
                <c:pt idx="6">
                  <c:v>388.20985229939339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14672.765597104131</c:v>
                </c:pt>
                <c:pt idx="2">
                  <c:v>1419.9378591688992</c:v>
                </c:pt>
                <c:pt idx="3">
                  <c:v>119.84277020742141</c:v>
                </c:pt>
                <c:pt idx="4">
                  <c:v>1327.923224846513</c:v>
                </c:pt>
                <c:pt idx="5">
                  <c:v>6359.8140062748562</c:v>
                </c:pt>
                <c:pt idx="6">
                  <c:v>13079.378708922588</c:v>
                </c:pt>
                <c:pt idx="7">
                  <c:v>98.081437880334477</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70016"/>
        <c:axId val="183275904"/>
      </c:barChart>
      <c:catAx>
        <c:axId val="183270016"/>
        <c:scaling>
          <c:orientation val="minMax"/>
        </c:scaling>
        <c:axPos val="b"/>
        <c:numFmt formatCode="General" sourceLinked="0"/>
        <c:tickLblPos val="nextTo"/>
        <c:crossAx val="183275904"/>
        <c:crosses val="autoZero"/>
        <c:auto val="1"/>
        <c:lblAlgn val="ctr"/>
        <c:lblOffset val="100"/>
      </c:catAx>
      <c:valAx>
        <c:axId val="183275904"/>
        <c:scaling>
          <c:orientation val="minMax"/>
        </c:scaling>
        <c:axPos val="l"/>
        <c:majorGridlines>
          <c:spPr>
            <a:ln>
              <a:noFill/>
            </a:ln>
          </c:spPr>
        </c:majorGridlines>
        <c:numFmt formatCode="#,##0" sourceLinked="1"/>
        <c:tickLblPos val="nextTo"/>
        <c:crossAx val="18327001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14672.765597104131</c:v>
                </c:pt>
                <c:pt idx="2">
                  <c:v>1419.9378591688992</c:v>
                </c:pt>
                <c:pt idx="3">
                  <c:v>119.84277020742141</c:v>
                </c:pt>
                <c:pt idx="4">
                  <c:v>1327.923224846513</c:v>
                </c:pt>
                <c:pt idx="5">
                  <c:v>6359.8140062748562</c:v>
                </c:pt>
                <c:pt idx="6">
                  <c:v>13079.378708922588</c:v>
                </c:pt>
                <c:pt idx="7">
                  <c:v>98.081437880334477</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23032</v>
      </c>
      <c r="B6" s="415"/>
      <c r="C6" s="416"/>
    </row>
    <row r="7" spans="1:7" s="413" customFormat="1" ht="15.75" customHeight="1">
      <c r="A7" s="417" t="str">
        <f>txtMunicipality</f>
        <v>HERNE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0.21049272532497296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0.21049272532497296</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23032</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2617</v>
      </c>
      <c r="C9" s="342">
        <v>2669</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3374.81</v>
      </c>
    </row>
    <row r="15" spans="1:6">
      <c r="A15" s="348" t="s">
        <v>184</v>
      </c>
      <c r="B15" s="334">
        <v>33</v>
      </c>
    </row>
    <row r="16" spans="1:6">
      <c r="A16" s="348" t="s">
        <v>6</v>
      </c>
      <c r="B16" s="334">
        <v>1200</v>
      </c>
    </row>
    <row r="17" spans="1:6">
      <c r="A17" s="348" t="s">
        <v>7</v>
      </c>
      <c r="B17" s="334">
        <v>870</v>
      </c>
    </row>
    <row r="18" spans="1:6">
      <c r="A18" s="348" t="s">
        <v>8</v>
      </c>
      <c r="B18" s="334">
        <v>1195</v>
      </c>
    </row>
    <row r="19" spans="1:6">
      <c r="A19" s="348" t="s">
        <v>9</v>
      </c>
      <c r="B19" s="334">
        <v>1150</v>
      </c>
    </row>
    <row r="20" spans="1:6">
      <c r="A20" s="348" t="s">
        <v>10</v>
      </c>
      <c r="B20" s="334">
        <v>855</v>
      </c>
    </row>
    <row r="21" spans="1:6">
      <c r="A21" s="348" t="s">
        <v>11</v>
      </c>
      <c r="B21" s="334">
        <v>0</v>
      </c>
    </row>
    <row r="22" spans="1:6">
      <c r="A22" s="348" t="s">
        <v>12</v>
      </c>
      <c r="B22" s="334">
        <v>1461</v>
      </c>
    </row>
    <row r="23" spans="1:6">
      <c r="A23" s="348" t="s">
        <v>13</v>
      </c>
      <c r="B23" s="334">
        <v>0</v>
      </c>
    </row>
    <row r="24" spans="1:6">
      <c r="A24" s="348" t="s">
        <v>14</v>
      </c>
      <c r="B24" s="334">
        <v>0</v>
      </c>
    </row>
    <row r="25" spans="1:6">
      <c r="A25" s="348" t="s">
        <v>15</v>
      </c>
      <c r="B25" s="334">
        <v>0</v>
      </c>
    </row>
    <row r="26" spans="1:6">
      <c r="A26" s="348" t="s">
        <v>16</v>
      </c>
      <c r="B26" s="334">
        <v>109</v>
      </c>
    </row>
    <row r="27" spans="1:6">
      <c r="A27" s="348" t="s">
        <v>17</v>
      </c>
      <c r="B27" s="334">
        <v>2</v>
      </c>
    </row>
    <row r="28" spans="1:6" s="356" customFormat="1">
      <c r="A28" s="355" t="s">
        <v>18</v>
      </c>
      <c r="B28" s="355">
        <v>46540</v>
      </c>
    </row>
    <row r="29" spans="1:6">
      <c r="A29" s="355" t="s">
        <v>744</v>
      </c>
      <c r="B29" s="355">
        <v>73</v>
      </c>
      <c r="C29" s="356"/>
      <c r="D29" s="356"/>
      <c r="E29" s="356"/>
      <c r="F29" s="356"/>
    </row>
    <row r="30" spans="1:6">
      <c r="A30" s="341" t="s">
        <v>745</v>
      </c>
      <c r="B30" s="341">
        <v>76</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9</v>
      </c>
      <c r="F36" s="334">
        <v>42531</v>
      </c>
    </row>
    <row r="37" spans="1:6">
      <c r="A37" s="348" t="s">
        <v>25</v>
      </c>
      <c r="B37" s="348" t="s">
        <v>28</v>
      </c>
      <c r="C37" s="334">
        <v>0</v>
      </c>
      <c r="D37" s="334">
        <v>0</v>
      </c>
      <c r="E37" s="334">
        <v>0</v>
      </c>
      <c r="F37" s="334">
        <v>0</v>
      </c>
    </row>
    <row r="38" spans="1:6">
      <c r="A38" s="348" t="s">
        <v>25</v>
      </c>
      <c r="B38" s="348" t="s">
        <v>29</v>
      </c>
      <c r="C38" s="334">
        <v>0</v>
      </c>
      <c r="D38" s="334">
        <v>0</v>
      </c>
      <c r="E38" s="334">
        <v>1</v>
      </c>
      <c r="F38" s="334">
        <v>8856</v>
      </c>
    </row>
    <row r="39" spans="1:6">
      <c r="A39" s="348" t="s">
        <v>30</v>
      </c>
      <c r="B39" s="348" t="s">
        <v>31</v>
      </c>
      <c r="C39" s="334">
        <v>626</v>
      </c>
      <c r="D39" s="334">
        <v>9680865.1500000004</v>
      </c>
      <c r="E39" s="334">
        <v>2541</v>
      </c>
      <c r="F39" s="334">
        <v>10779725.128</v>
      </c>
    </row>
    <row r="40" spans="1:6">
      <c r="A40" s="348" t="s">
        <v>30</v>
      </c>
      <c r="B40" s="348" t="s">
        <v>29</v>
      </c>
      <c r="C40" s="334">
        <v>0</v>
      </c>
      <c r="D40" s="334">
        <v>0</v>
      </c>
      <c r="E40" s="334">
        <v>0</v>
      </c>
      <c r="F40" s="334">
        <v>0</v>
      </c>
    </row>
    <row r="41" spans="1:6">
      <c r="A41" s="348" t="s">
        <v>32</v>
      </c>
      <c r="B41" s="348" t="s">
        <v>33</v>
      </c>
      <c r="C41" s="334">
        <v>6</v>
      </c>
      <c r="D41" s="334">
        <v>182009</v>
      </c>
      <c r="E41" s="334">
        <v>65</v>
      </c>
      <c r="F41" s="334">
        <v>469987.8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11</v>
      </c>
      <c r="F44" s="334">
        <v>131979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30001</v>
      </c>
    </row>
    <row r="48" spans="1:6">
      <c r="A48" s="348" t="s">
        <v>32</v>
      </c>
      <c r="B48" s="348" t="s">
        <v>29</v>
      </c>
      <c r="C48" s="334">
        <v>4</v>
      </c>
      <c r="D48" s="334">
        <v>20098621</v>
      </c>
      <c r="E48" s="334">
        <v>3</v>
      </c>
      <c r="F48" s="334">
        <v>6864</v>
      </c>
    </row>
    <row r="49" spans="1:6">
      <c r="A49" s="348" t="s">
        <v>32</v>
      </c>
      <c r="B49" s="348" t="s">
        <v>40</v>
      </c>
      <c r="C49" s="334">
        <v>0</v>
      </c>
      <c r="D49" s="334">
        <v>0</v>
      </c>
      <c r="E49" s="334">
        <v>0</v>
      </c>
      <c r="F49" s="334">
        <v>0</v>
      </c>
    </row>
    <row r="50" spans="1:6">
      <c r="A50" s="348" t="s">
        <v>32</v>
      </c>
      <c r="B50" s="348" t="s">
        <v>41</v>
      </c>
      <c r="C50" s="334">
        <v>0</v>
      </c>
      <c r="D50" s="334">
        <v>0</v>
      </c>
      <c r="E50" s="334">
        <v>8</v>
      </c>
      <c r="F50" s="334">
        <v>10501747</v>
      </c>
    </row>
    <row r="51" spans="1:6">
      <c r="A51" s="348" t="s">
        <v>42</v>
      </c>
      <c r="B51" s="348" t="s">
        <v>43</v>
      </c>
      <c r="C51" s="334">
        <v>4</v>
      </c>
      <c r="D51" s="334">
        <v>72370</v>
      </c>
      <c r="E51" s="334">
        <v>97</v>
      </c>
      <c r="F51" s="334">
        <v>952184</v>
      </c>
    </row>
    <row r="52" spans="1:6">
      <c r="A52" s="348" t="s">
        <v>42</v>
      </c>
      <c r="B52" s="348" t="s">
        <v>29</v>
      </c>
      <c r="C52" s="334">
        <v>0</v>
      </c>
      <c r="D52" s="334">
        <v>0</v>
      </c>
      <c r="E52" s="334">
        <v>0</v>
      </c>
      <c r="F52" s="334">
        <v>0</v>
      </c>
    </row>
    <row r="53" spans="1:6">
      <c r="A53" s="348" t="s">
        <v>44</v>
      </c>
      <c r="B53" s="348" t="s">
        <v>45</v>
      </c>
      <c r="C53" s="334">
        <v>15</v>
      </c>
      <c r="D53" s="334">
        <v>273608</v>
      </c>
      <c r="E53" s="334">
        <v>55</v>
      </c>
      <c r="F53" s="334">
        <v>206609.4</v>
      </c>
    </row>
    <row r="54" spans="1:6">
      <c r="A54" s="348" t="s">
        <v>46</v>
      </c>
      <c r="B54" s="348" t="s">
        <v>47</v>
      </c>
      <c r="C54" s="334">
        <v>0</v>
      </c>
      <c r="D54" s="334">
        <v>0</v>
      </c>
      <c r="E54" s="334">
        <v>1</v>
      </c>
      <c r="F54" s="334">
        <v>569344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11</v>
      </c>
      <c r="D57" s="334">
        <v>317087.45</v>
      </c>
      <c r="E57" s="334">
        <v>58</v>
      </c>
      <c r="F57" s="334">
        <v>547098.77099999995</v>
      </c>
    </row>
    <row r="58" spans="1:6">
      <c r="A58" s="348" t="s">
        <v>49</v>
      </c>
      <c r="B58" s="348" t="s">
        <v>51</v>
      </c>
      <c r="C58" s="334">
        <v>7</v>
      </c>
      <c r="D58" s="334">
        <v>339711</v>
      </c>
      <c r="E58" s="334">
        <v>15</v>
      </c>
      <c r="F58" s="334">
        <v>402725.48599999998</v>
      </c>
    </row>
    <row r="59" spans="1:6">
      <c r="A59" s="348" t="s">
        <v>49</v>
      </c>
      <c r="B59" s="348" t="s">
        <v>52</v>
      </c>
      <c r="C59" s="334">
        <v>10</v>
      </c>
      <c r="D59" s="334">
        <v>239670</v>
      </c>
      <c r="E59" s="334">
        <v>71</v>
      </c>
      <c r="F59" s="334">
        <v>1358098.5</v>
      </c>
    </row>
    <row r="60" spans="1:6">
      <c r="A60" s="348" t="s">
        <v>49</v>
      </c>
      <c r="B60" s="348" t="s">
        <v>53</v>
      </c>
      <c r="C60" s="334">
        <v>16</v>
      </c>
      <c r="D60" s="334">
        <v>615563.44999999995</v>
      </c>
      <c r="E60" s="334">
        <v>28</v>
      </c>
      <c r="F60" s="334">
        <v>513752.75</v>
      </c>
    </row>
    <row r="61" spans="1:6">
      <c r="A61" s="348" t="s">
        <v>49</v>
      </c>
      <c r="B61" s="348" t="s">
        <v>54</v>
      </c>
      <c r="C61" s="334">
        <v>25</v>
      </c>
      <c r="D61" s="334">
        <v>770126</v>
      </c>
      <c r="E61" s="334">
        <v>94</v>
      </c>
      <c r="F61" s="334">
        <v>922809.47499999998</v>
      </c>
    </row>
    <row r="62" spans="1:6">
      <c r="A62" s="348" t="s">
        <v>49</v>
      </c>
      <c r="B62" s="348" t="s">
        <v>55</v>
      </c>
      <c r="C62" s="334">
        <v>0</v>
      </c>
      <c r="D62" s="334">
        <v>0</v>
      </c>
      <c r="E62" s="334">
        <v>6</v>
      </c>
      <c r="F62" s="334">
        <v>73897.482000000004</v>
      </c>
    </row>
    <row r="63" spans="1:6">
      <c r="A63" s="348" t="s">
        <v>49</v>
      </c>
      <c r="B63" s="348" t="s">
        <v>29</v>
      </c>
      <c r="C63" s="334">
        <v>1</v>
      </c>
      <c r="D63" s="334">
        <v>28674</v>
      </c>
      <c r="E63" s="334">
        <v>0</v>
      </c>
      <c r="F63" s="334">
        <v>0</v>
      </c>
    </row>
    <row r="64" spans="1:6">
      <c r="A64" s="348" t="s">
        <v>56</v>
      </c>
      <c r="B64" s="348" t="s">
        <v>57</v>
      </c>
      <c r="C64" s="334">
        <v>0</v>
      </c>
      <c r="D64" s="334">
        <v>0</v>
      </c>
      <c r="E64" s="334">
        <v>0</v>
      </c>
      <c r="F64" s="334">
        <v>0</v>
      </c>
    </row>
    <row r="65" spans="1:6">
      <c r="A65" s="348" t="s">
        <v>56</v>
      </c>
      <c r="B65" s="348" t="s">
        <v>29</v>
      </c>
      <c r="C65" s="334">
        <v>1</v>
      </c>
      <c r="D65" s="334">
        <v>28767</v>
      </c>
      <c r="E65" s="334">
        <v>0</v>
      </c>
      <c r="F65" s="334">
        <v>0</v>
      </c>
    </row>
    <row r="66" spans="1:6">
      <c r="A66" s="348" t="s">
        <v>56</v>
      </c>
      <c r="B66" s="348" t="s">
        <v>58</v>
      </c>
      <c r="C66" s="334">
        <v>0</v>
      </c>
      <c r="D66" s="334">
        <v>0</v>
      </c>
      <c r="E66" s="334">
        <v>7</v>
      </c>
      <c r="F66" s="334">
        <v>9788</v>
      </c>
    </row>
    <row r="67" spans="1:6">
      <c r="A67" s="355" t="s">
        <v>56</v>
      </c>
      <c r="B67" s="355" t="s">
        <v>59</v>
      </c>
      <c r="C67" s="334">
        <v>0</v>
      </c>
      <c r="D67" s="334">
        <v>0</v>
      </c>
      <c r="E67" s="334">
        <v>0</v>
      </c>
      <c r="F67" s="334">
        <v>0</v>
      </c>
    </row>
    <row r="68" spans="1:6">
      <c r="A68" s="341" t="s">
        <v>56</v>
      </c>
      <c r="B68" s="341" t="s">
        <v>60</v>
      </c>
      <c r="C68" s="334">
        <v>0</v>
      </c>
      <c r="D68" s="334">
        <v>0</v>
      </c>
      <c r="E68" s="334">
        <v>6</v>
      </c>
      <c r="F68" s="334">
        <v>23139</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56881129</v>
      </c>
      <c r="E73" s="475">
        <v>57745298.448339738</v>
      </c>
    </row>
    <row r="74" spans="1:6">
      <c r="A74" s="348" t="s">
        <v>64</v>
      </c>
      <c r="B74" s="348" t="s">
        <v>657</v>
      </c>
      <c r="C74" s="1295" t="s">
        <v>659</v>
      </c>
      <c r="D74" s="475">
        <v>3928394.5</v>
      </c>
      <c r="E74" s="475">
        <v>4027826.950973514</v>
      </c>
    </row>
    <row r="75" spans="1:6">
      <c r="A75" s="348" t="s">
        <v>65</v>
      </c>
      <c r="B75" s="348" t="s">
        <v>656</v>
      </c>
      <c r="C75" s="1295" t="s">
        <v>660</v>
      </c>
      <c r="D75" s="475">
        <v>8195185</v>
      </c>
      <c r="E75" s="475">
        <v>8311084.2010004213</v>
      </c>
    </row>
    <row r="76" spans="1:6">
      <c r="A76" s="348" t="s">
        <v>65</v>
      </c>
      <c r="B76" s="348" t="s">
        <v>657</v>
      </c>
      <c r="C76" s="1295" t="s">
        <v>661</v>
      </c>
      <c r="D76" s="475">
        <v>215997.5</v>
      </c>
      <c r="E76" s="475">
        <v>223429.35552171612</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105289</v>
      </c>
      <c r="C83" s="475">
        <v>105431.83595968076</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1275.0682198707511</v>
      </c>
    </row>
    <row r="92" spans="1:6">
      <c r="A92" s="341" t="s">
        <v>69</v>
      </c>
      <c r="B92" s="342">
        <v>92.660075530667626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127</v>
      </c>
    </row>
    <row r="98" spans="1:6">
      <c r="A98" s="348" t="s">
        <v>72</v>
      </c>
      <c r="B98" s="334">
        <v>2</v>
      </c>
    </row>
    <row r="99" spans="1:6">
      <c r="A99" s="348" t="s">
        <v>73</v>
      </c>
      <c r="B99" s="334">
        <v>102</v>
      </c>
    </row>
    <row r="100" spans="1:6">
      <c r="A100" s="348" t="s">
        <v>74</v>
      </c>
      <c r="B100" s="334">
        <v>176</v>
      </c>
    </row>
    <row r="101" spans="1:6">
      <c r="A101" s="348" t="s">
        <v>75</v>
      </c>
      <c r="B101" s="334">
        <v>76</v>
      </c>
    </row>
    <row r="102" spans="1:6">
      <c r="A102" s="348" t="s">
        <v>76</v>
      </c>
      <c r="B102" s="334">
        <v>26</v>
      </c>
    </row>
    <row r="103" spans="1:6">
      <c r="A103" s="348" t="s">
        <v>77</v>
      </c>
      <c r="B103" s="334">
        <v>110</v>
      </c>
    </row>
    <row r="104" spans="1:6">
      <c r="A104" s="348" t="s">
        <v>78</v>
      </c>
      <c r="B104" s="334">
        <v>1712</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5</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57</v>
      </c>
    </row>
    <row r="130" spans="1:6">
      <c r="A130" s="348" t="s">
        <v>295</v>
      </c>
      <c r="B130" s="334">
        <v>1</v>
      </c>
    </row>
    <row r="131" spans="1:6">
      <c r="A131" s="348" t="s">
        <v>296</v>
      </c>
      <c r="B131" s="334">
        <v>1</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28767.493249426807</v>
      </c>
      <c r="C3" s="43" t="s">
        <v>170</v>
      </c>
      <c r="D3" s="43"/>
      <c r="E3" s="154"/>
      <c r="F3" s="43"/>
      <c r="G3" s="43"/>
      <c r="H3" s="43"/>
      <c r="I3" s="43"/>
      <c r="J3" s="43"/>
      <c r="K3" s="96"/>
    </row>
    <row r="4" spans="1:11">
      <c r="A4" s="383" t="s">
        <v>171</v>
      </c>
      <c r="B4" s="49">
        <f>IF(ISERROR('SEAP template'!B78+'SEAP template'!C78),0,'SEAP template'!B78+'SEAP template'!C78)</f>
        <v>1367.7282954014188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0.21049272532497296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569.34400000000005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569.34400000000005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0.21049272532497296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119.84277020742141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10779.725128</v>
      </c>
      <c r="C5" s="17">
        <f>IF(ISERROR('Eigen informatie GS &amp; warmtenet'!B57),0,'Eigen informatie GS &amp; warmtenet'!B57)</f>
        <v>0</v>
      </c>
      <c r="D5" s="30">
        <f>(SUM(HH_hh_gas_kWh,HH_rest_gas_kWh)/1000)*0.902</f>
        <v>8732.1403652999998</v>
      </c>
      <c r="E5" s="17">
        <f>B46*B57</f>
        <v>3928.928130606947</v>
      </c>
      <c r="F5" s="17">
        <f>B51*B62</f>
        <v>32694.317199542449</v>
      </c>
      <c r="G5" s="18"/>
      <c r="H5" s="17"/>
      <c r="I5" s="17"/>
      <c r="J5" s="17">
        <f>B50*B61+C50*C61</f>
        <v>2119.1456507492949</v>
      </c>
      <c r="K5" s="17"/>
      <c r="L5" s="17"/>
      <c r="M5" s="17"/>
      <c r="N5" s="17">
        <f>B48*B59+C48*C59</f>
        <v>9976.5451700735375</v>
      </c>
      <c r="O5" s="17">
        <f>B69*B70*B71</f>
        <v>96.926666666666677</v>
      </c>
      <c r="P5" s="17">
        <f>B77*B78*B79/1000-B77*B78*B79/1000/B80</f>
        <v>457.6</v>
      </c>
    </row>
    <row r="6" spans="1:16">
      <c r="A6" s="16" t="s">
        <v>621</v>
      </c>
      <c r="B6" s="788">
        <f>kWh_PV_kleiner_dan_10kW</f>
        <v>1275.0682198707511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12054.793347870751</v>
      </c>
      <c r="C8" s="21">
        <f>C5</f>
        <v>0</v>
      </c>
      <c r="D8" s="21">
        <f>D5</f>
        <v>8732.1403652999998</v>
      </c>
      <c r="E8" s="21">
        <f>E5</f>
        <v>3928.928130606947</v>
      </c>
      <c r="F8" s="21">
        <f>F5</f>
        <v>32694.317199542449</v>
      </c>
      <c r="G8" s="21"/>
      <c r="H8" s="21"/>
      <c r="I8" s="21"/>
      <c r="J8" s="21">
        <f>J5</f>
        <v>2119.1456507492949</v>
      </c>
      <c r="K8" s="21"/>
      <c r="L8" s="21">
        <f>L5</f>
        <v>0</v>
      </c>
      <c r="M8" s="21">
        <f>M5</f>
        <v>0</v>
      </c>
      <c r="N8" s="21">
        <f>N5</f>
        <v>9976.5451700735375</v>
      </c>
      <c r="O8" s="21">
        <f>O5</f>
        <v>96.926666666666677</v>
      </c>
      <c r="P8" s="21">
        <f>P5</f>
        <v>457.6</v>
      </c>
    </row>
    <row r="9" spans="1:16">
      <c r="B9" s="19"/>
      <c r="C9" s="19"/>
      <c r="D9" s="258"/>
      <c r="E9" s="19"/>
      <c r="F9" s="19"/>
      <c r="G9" s="19"/>
      <c r="H9" s="19"/>
      <c r="I9" s="19"/>
      <c r="J9" s="19"/>
      <c r="K9" s="19"/>
      <c r="L9" s="19"/>
      <c r="M9" s="19"/>
      <c r="N9" s="19"/>
      <c r="O9" s="19"/>
      <c r="P9" s="19"/>
    </row>
    <row r="10" spans="1:16">
      <c r="A10" s="24" t="s">
        <v>214</v>
      </c>
      <c r="B10" s="25">
        <f ca="1">'EF ele_warmte'!B12</f>
        <v>0.21049272532497296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2537.4463050226691</v>
      </c>
      <c r="C12" s="23">
        <f ca="1">C10*C8</f>
        <v>0</v>
      </c>
      <c r="D12" s="23">
        <f>D8*D10</f>
        <v>1763.8923537906001</v>
      </c>
      <c r="E12" s="23">
        <f>E10*E8</f>
        <v>891.86668564777699</v>
      </c>
      <c r="F12" s="23">
        <f>F10*F8</f>
        <v>8729.3826922778353</v>
      </c>
      <c r="G12" s="23"/>
      <c r="H12" s="23"/>
      <c r="I12" s="23"/>
      <c r="J12" s="23">
        <f>J10*J8</f>
        <v>750.17756036525032</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127</v>
      </c>
      <c r="C18" s="166" t="s">
        <v>111</v>
      </c>
      <c r="D18" s="228"/>
      <c r="E18" s="15"/>
    </row>
    <row r="19" spans="1:7">
      <c r="A19" s="171" t="s">
        <v>72</v>
      </c>
      <c r="B19" s="37">
        <f>aantalw2001_ander</f>
        <v>2</v>
      </c>
      <c r="C19" s="166" t="s">
        <v>111</v>
      </c>
      <c r="D19" s="229"/>
      <c r="E19" s="15"/>
    </row>
    <row r="20" spans="1:7">
      <c r="A20" s="171" t="s">
        <v>73</v>
      </c>
      <c r="B20" s="37">
        <f>aantalw2001_propaan</f>
        <v>102</v>
      </c>
      <c r="C20" s="167">
        <f>IF(ISERROR(B20/SUM($B$20,$B$21,$B$22)*100),0,B20/SUM($B$20,$B$21,$B$22)*100)</f>
        <v>28.8135593220339</v>
      </c>
      <c r="D20" s="229"/>
      <c r="E20" s="15"/>
    </row>
    <row r="21" spans="1:7">
      <c r="A21" s="171" t="s">
        <v>74</v>
      </c>
      <c r="B21" s="37">
        <f>aantalw2001_elektriciteit</f>
        <v>176</v>
      </c>
      <c r="C21" s="167">
        <f>IF(ISERROR(B21/SUM($B$20,$B$21,$B$22)*100),0,B21/SUM($B$20,$B$21,$B$22)*100)</f>
        <v>49.717514124293785</v>
      </c>
      <c r="D21" s="229"/>
      <c r="E21" s="15"/>
    </row>
    <row r="22" spans="1:7">
      <c r="A22" s="171" t="s">
        <v>75</v>
      </c>
      <c r="B22" s="37">
        <f>aantalw2001_hout</f>
        <v>76</v>
      </c>
      <c r="C22" s="167">
        <f>IF(ISERROR(B22/SUM($B$20,$B$21,$B$22)*100),0,B22/SUM($B$20,$B$21,$B$22)*100)</f>
        <v>21.468926553672315</v>
      </c>
      <c r="D22" s="229"/>
      <c r="E22" s="15"/>
    </row>
    <row r="23" spans="1:7">
      <c r="A23" s="171" t="s">
        <v>76</v>
      </c>
      <c r="B23" s="37">
        <f>aantalw2001_niet_gespec</f>
        <v>26</v>
      </c>
      <c r="C23" s="166" t="s">
        <v>111</v>
      </c>
      <c r="D23" s="228"/>
      <c r="E23" s="15"/>
    </row>
    <row r="24" spans="1:7">
      <c r="A24" s="171" t="s">
        <v>77</v>
      </c>
      <c r="B24" s="37">
        <f>aantalw2001_steenkool</f>
        <v>110</v>
      </c>
      <c r="C24" s="166" t="s">
        <v>111</v>
      </c>
      <c r="D24" s="229"/>
      <c r="E24" s="15"/>
    </row>
    <row r="25" spans="1:7">
      <c r="A25" s="171" t="s">
        <v>78</v>
      </c>
      <c r="B25" s="37">
        <f>aantalw2001_stookolie</f>
        <v>1712</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793</v>
      </c>
      <c r="B28" s="37">
        <f>aantalHuishoudens2011</f>
        <v>2617</v>
      </c>
      <c r="C28" s="36"/>
      <c r="D28" s="228"/>
    </row>
    <row r="29" spans="1:7" s="15" customFormat="1">
      <c r="A29" s="230" t="s">
        <v>794</v>
      </c>
      <c r="B29" s="37">
        <f>SUM(HH_hh_gas_aantal,HH_rest_gas_aantal)</f>
        <v>626</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626</v>
      </c>
      <c r="C32" s="167">
        <f>IF(ISERROR(B32/SUM($B$32,$B$34,$B$35,$B$36,$B$38,$B$39)*100),0,B32/SUM($B$32,$B$34,$B$35,$B$36,$B$38,$B$39)*100)</f>
        <v>24.141920555341304</v>
      </c>
      <c r="D32" s="233"/>
      <c r="G32" s="15"/>
    </row>
    <row r="33" spans="1:7">
      <c r="A33" s="171" t="s">
        <v>72</v>
      </c>
      <c r="B33" s="34" t="s">
        <v>111</v>
      </c>
      <c r="C33" s="167"/>
      <c r="D33" s="233"/>
      <c r="G33" s="15"/>
    </row>
    <row r="34" spans="1:7">
      <c r="A34" s="171" t="s">
        <v>73</v>
      </c>
      <c r="B34" s="33">
        <f>IF((($B$28-$B$32-$B$39-$B$77-$B$38)*C20/100)&lt;0,0,($B$28-$B$32-$B$39-$B$77-$B$38)*C20/100)</f>
        <v>185.55932203389827</v>
      </c>
      <c r="C34" s="167">
        <f>IF(ISERROR(B34/SUM($B$32,$B$34,$B$35,$B$36,$B$38,$B$39)*100),0,B34/SUM($B$32,$B$34,$B$35,$B$36,$B$38,$B$39)*100)</f>
        <v>7.156163595599625</v>
      </c>
      <c r="D34" s="233"/>
      <c r="G34" s="15"/>
    </row>
    <row r="35" spans="1:7">
      <c r="A35" s="171" t="s">
        <v>74</v>
      </c>
      <c r="B35" s="33">
        <f>IF((($B$28-$B$32-$B$39-$B$77-$B$38)*C21/100)&lt;0,0,($B$28-$B$32-$B$39-$B$77-$B$38)*C21/100)</f>
        <v>320.18079096045193</v>
      </c>
      <c r="C35" s="167">
        <f>IF(ISERROR(B35/SUM($B$32,$B$34,$B$35,$B$36,$B$38,$B$39)*100),0,B35/SUM($B$32,$B$34,$B$35,$B$36,$B$38,$B$39)*100)</f>
        <v>12.347890125740529</v>
      </c>
      <c r="D35" s="233"/>
      <c r="G35" s="15"/>
    </row>
    <row r="36" spans="1:7">
      <c r="A36" s="171" t="s">
        <v>75</v>
      </c>
      <c r="B36" s="33">
        <f>IF((($B$28-$B$32-$B$39-$B$77-$B$38)*C22/100)&lt;0,0,($B$28-$B$32-$B$39-$B$77-$B$38)*C22/100)</f>
        <v>138.25988700564969</v>
      </c>
      <c r="C36" s="167">
        <f>IF(ISERROR(B36/SUM($B$32,$B$34,$B$35,$B$36,$B$38,$B$39)*100),0,B36/SUM($B$32,$B$34,$B$35,$B$36,$B$38,$B$39)*100)</f>
        <v>5.3320434633879552</v>
      </c>
      <c r="D36" s="233"/>
      <c r="G36" s="15"/>
    </row>
    <row r="37" spans="1:7">
      <c r="A37" s="171" t="s">
        <v>76</v>
      </c>
      <c r="B37" s="34" t="s">
        <v>111</v>
      </c>
      <c r="C37" s="167"/>
      <c r="D37" s="173"/>
      <c r="G37" s="15"/>
    </row>
    <row r="38" spans="1:7">
      <c r="A38" s="171" t="s">
        <v>77</v>
      </c>
      <c r="B38" s="33">
        <f>IF((B24-(B29-B18)*0.1)&lt;0,0,B24-(B29-B18)*0.1)</f>
        <v>60.099999999999994</v>
      </c>
      <c r="C38" s="167">
        <f>IF(ISERROR(B38/SUM($B$32,$B$34,$B$35,$B$36,$B$38,$B$39)*100),0,B38/SUM($B$32,$B$34,$B$35,$B$36,$B$38,$B$39)*100)</f>
        <v>2.3177786347859617</v>
      </c>
      <c r="D38" s="234"/>
      <c r="G38" s="15"/>
    </row>
    <row r="39" spans="1:7">
      <c r="A39" s="171" t="s">
        <v>78</v>
      </c>
      <c r="B39" s="33">
        <f>IF((B25-(B29-B18))&lt;0,0,B25-(B29-B18)*0.9)</f>
        <v>1262.9000000000001</v>
      </c>
      <c r="C39" s="167">
        <f>IF(ISERROR(B39/SUM($B$32,$B$34,$B$35,$B$36,$B$38,$B$39)*100),0,B39/SUM($B$32,$B$34,$B$35,$B$36,$B$38,$B$39)*100)</f>
        <v>48.704203625144622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626</v>
      </c>
      <c r="C44" s="34" t="s">
        <v>111</v>
      </c>
      <c r="D44" s="174"/>
    </row>
    <row r="45" spans="1:7">
      <c r="A45" s="171" t="s">
        <v>72</v>
      </c>
      <c r="B45" s="33" t="str">
        <f t="shared" si="0"/>
        <v>-</v>
      </c>
      <c r="C45" s="34" t="s">
        <v>111</v>
      </c>
      <c r="D45" s="174"/>
    </row>
    <row r="46" spans="1:7">
      <c r="A46" s="171" t="s">
        <v>73</v>
      </c>
      <c r="B46" s="33">
        <f t="shared" si="0"/>
        <v>185.55932203389827</v>
      </c>
      <c r="C46" s="34" t="s">
        <v>111</v>
      </c>
      <c r="D46" s="174"/>
    </row>
    <row r="47" spans="1:7">
      <c r="A47" s="171" t="s">
        <v>74</v>
      </c>
      <c r="B47" s="33">
        <f t="shared" si="0"/>
        <v>320.18079096045193</v>
      </c>
      <c r="C47" s="34" t="s">
        <v>111</v>
      </c>
      <c r="D47" s="174"/>
    </row>
    <row r="48" spans="1:7">
      <c r="A48" s="171" t="s">
        <v>75</v>
      </c>
      <c r="B48" s="33">
        <f t="shared" si="0"/>
        <v>138.25988700564969</v>
      </c>
      <c r="C48" s="33">
        <f>B48*10</f>
        <v>1382.5988700564969</v>
      </c>
      <c r="D48" s="234"/>
    </row>
    <row r="49" spans="1:6">
      <c r="A49" s="171" t="s">
        <v>76</v>
      </c>
      <c r="B49" s="33" t="str">
        <f t="shared" si="0"/>
        <v>-</v>
      </c>
      <c r="C49" s="34" t="s">
        <v>111</v>
      </c>
      <c r="D49" s="234"/>
    </row>
    <row r="50" spans="1:6">
      <c r="A50" s="171" t="s">
        <v>77</v>
      </c>
      <c r="B50" s="33">
        <f t="shared" si="0"/>
        <v>60.099999999999994</v>
      </c>
      <c r="C50" s="33">
        <f>B50*2</f>
        <v>120.19999999999999</v>
      </c>
      <c r="D50" s="234"/>
    </row>
    <row r="51" spans="1:6">
      <c r="A51" s="171" t="s">
        <v>78</v>
      </c>
      <c r="B51" s="33">
        <f t="shared" si="0"/>
        <v>1262.9000000000001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3818.3824639999998</v>
      </c>
      <c r="C5" s="17">
        <f>IF(ISERROR('Eigen informatie GS &amp; warmtenet'!B58),0,'Eigen informatie GS &amp; warmtenet'!B58)</f>
        <v>0</v>
      </c>
      <c r="D5" s="30">
        <f>SUM(D6:D12)</f>
        <v>2084.3703737999999</v>
      </c>
      <c r="E5" s="17">
        <f>SUM(E6:E12)</f>
        <v>58.413033546603728</v>
      </c>
      <c r="F5" s="17">
        <f>SUM(F6:F12)</f>
        <v>681.2335205426325</v>
      </c>
      <c r="G5" s="18"/>
      <c r="H5" s="17"/>
      <c r="I5" s="17"/>
      <c r="J5" s="17">
        <f>SUM(J6:J12)</f>
        <v>1.1875369750443406E-2</v>
      </c>
      <c r="K5" s="17"/>
      <c r="L5" s="17"/>
      <c r="M5" s="17"/>
      <c r="N5" s="17">
        <f>SUM(N6:N12)</f>
        <v>473.93174076079288</v>
      </c>
      <c r="O5" s="17">
        <f>B38*B39*B40</f>
        <v>1.5633333333333335</v>
      </c>
      <c r="P5" s="17">
        <f>B46*B47*B48/1000-B46*B47*B48/1000/B49</f>
        <v>19.066666666666666</v>
      </c>
      <c r="R5" s="32"/>
    </row>
    <row r="6" spans="1:18">
      <c r="A6" s="32" t="s">
        <v>54</v>
      </c>
      <c r="B6" s="37">
        <f>B26</f>
        <v>922.80947500000002</v>
      </c>
      <c r="C6" s="33"/>
      <c r="D6" s="37">
        <f>IF(ISERROR(TER_kantoor_gas_kWh/1000),0,TER_kantoor_gas_kWh/1000)*0.902</f>
        <v>694.65365199999997</v>
      </c>
      <c r="E6" s="33">
        <f>$C$26*'E Balans VL '!I12/100/3.6*1000000</f>
        <v>5.7838628676769761E-3</v>
      </c>
      <c r="F6" s="33">
        <f>$C$26*('E Balans VL '!L12+'E Balans VL '!N12)/100/3.6*1000000</f>
        <v>138.67247833648395</v>
      </c>
      <c r="G6" s="34"/>
      <c r="H6" s="33"/>
      <c r="I6" s="33"/>
      <c r="J6" s="33">
        <f>$C$26*('E Balans VL '!D12+'E Balans VL '!E12)/100/3.6*1000000</f>
        <v>0</v>
      </c>
      <c r="K6" s="33"/>
      <c r="L6" s="33"/>
      <c r="M6" s="33"/>
      <c r="N6" s="33">
        <f>$C$26*'E Balans VL '!Y12/100/3.6*1000000</f>
        <v>0.88253044131746783</v>
      </c>
      <c r="O6" s="33"/>
      <c r="P6" s="33"/>
      <c r="R6" s="32"/>
    </row>
    <row r="7" spans="1:18">
      <c r="A7" s="32" t="s">
        <v>53</v>
      </c>
      <c r="B7" s="37">
        <f t="shared" ref="B7:B12" si="0">B27</f>
        <v>513.75274999999999</v>
      </c>
      <c r="C7" s="33"/>
      <c r="D7" s="37">
        <f>IF(ISERROR(TER_horeca_gas_kWh/1000),0,TER_horeca_gas_kWh/1000)*0.902</f>
        <v>555.23823189999996</v>
      </c>
      <c r="E7" s="33">
        <f>$C$27*'E Balans VL '!I9/100/3.6*1000000</f>
        <v>7.3568538051279289</v>
      </c>
      <c r="F7" s="33">
        <f>$C$27*('E Balans VL '!L9+'E Balans VL '!N9)/100/3.6*1000000</f>
        <v>65.058042368485644</v>
      </c>
      <c r="G7" s="34"/>
      <c r="H7" s="33"/>
      <c r="I7" s="33"/>
      <c r="J7" s="33">
        <f>$C$27*('E Balans VL '!D9+'E Balans VL '!E9)/100/3.6*1000000</f>
        <v>0</v>
      </c>
      <c r="K7" s="33"/>
      <c r="L7" s="33"/>
      <c r="M7" s="33"/>
      <c r="N7" s="33">
        <f>$C$27*'E Balans VL '!Y9/100/3.6*1000000</f>
        <v>0.14769258834919205</v>
      </c>
      <c r="O7" s="33"/>
      <c r="P7" s="33"/>
      <c r="R7" s="32"/>
    </row>
    <row r="8" spans="1:18">
      <c r="A8" s="6" t="s">
        <v>52</v>
      </c>
      <c r="B8" s="37">
        <f t="shared" si="0"/>
        <v>1358.0985000000001</v>
      </c>
      <c r="C8" s="33"/>
      <c r="D8" s="37">
        <f>IF(ISERROR(TER_handel_gas_kWh/1000),0,TER_handel_gas_kWh/1000)*0.902</f>
        <v>216.18233999999998</v>
      </c>
      <c r="E8" s="33">
        <f>$C$28*'E Balans VL '!I13/100/3.6*1000000</f>
        <v>49.258065121796037</v>
      </c>
      <c r="F8" s="33">
        <f>$C$28*('E Balans VL '!L13+'E Balans VL '!N13)/100/3.6*1000000</f>
        <v>261.58352272161329</v>
      </c>
      <c r="G8" s="34"/>
      <c r="H8" s="33"/>
      <c r="I8" s="33"/>
      <c r="J8" s="33">
        <f>$C$28*('E Balans VL '!D13+'E Balans VL '!E13)/100/3.6*1000000</f>
        <v>0</v>
      </c>
      <c r="K8" s="33"/>
      <c r="L8" s="33"/>
      <c r="M8" s="33"/>
      <c r="N8" s="33">
        <f>$C$28*'E Balans VL '!Y13/100/3.6*1000000</f>
        <v>1.8812789070284577</v>
      </c>
      <c r="O8" s="33"/>
      <c r="P8" s="33"/>
      <c r="R8" s="32"/>
    </row>
    <row r="9" spans="1:18">
      <c r="A9" s="32" t="s">
        <v>51</v>
      </c>
      <c r="B9" s="37">
        <f t="shared" si="0"/>
        <v>402.72548599999999</v>
      </c>
      <c r="C9" s="33"/>
      <c r="D9" s="37">
        <f>IF(ISERROR(TER_gezond_gas_kWh/1000),0,TER_gezond_gas_kWh/1000)*0.902</f>
        <v>306.41932200000002</v>
      </c>
      <c r="E9" s="33">
        <f>$C$29*'E Balans VL '!I10/100/3.6*1000000</f>
        <v>2.5214591619432934E-2</v>
      </c>
      <c r="F9" s="33">
        <f>$C$29*('E Balans VL '!L10+'E Balans VL '!N10)/100/3.6*1000000</f>
        <v>59.826097127629438</v>
      </c>
      <c r="G9" s="34"/>
      <c r="H9" s="33"/>
      <c r="I9" s="33"/>
      <c r="J9" s="33">
        <f>$C$29*('E Balans VL '!D10+'E Balans VL '!E10)/100/3.6*1000000</f>
        <v>0</v>
      </c>
      <c r="K9" s="33"/>
      <c r="L9" s="33"/>
      <c r="M9" s="33"/>
      <c r="N9" s="33">
        <f>$C$29*'E Balans VL '!Y10/100/3.6*1000000</f>
        <v>6.2293966771356653</v>
      </c>
      <c r="O9" s="33"/>
      <c r="P9" s="33"/>
      <c r="R9" s="32"/>
    </row>
    <row r="10" spans="1:18">
      <c r="A10" s="32" t="s">
        <v>50</v>
      </c>
      <c r="B10" s="37">
        <f t="shared" si="0"/>
        <v>547.09877099999994</v>
      </c>
      <c r="C10" s="33"/>
      <c r="D10" s="37">
        <f>IF(ISERROR(TER_ander_gas_kWh/1000),0,TER_ander_gas_kWh/1000)*0.902</f>
        <v>286.01287989999997</v>
      </c>
      <c r="E10" s="33">
        <f>$C$30*'E Balans VL '!I14/100/3.6*1000000</f>
        <v>0.65212218502529518</v>
      </c>
      <c r="F10" s="33">
        <f>$C$30*('E Balans VL '!L14+'E Balans VL '!N14)/100/3.6*1000000</f>
        <v>143.14536059462441</v>
      </c>
      <c r="G10" s="34"/>
      <c r="H10" s="33"/>
      <c r="I10" s="33"/>
      <c r="J10" s="33">
        <f>$C$30*('E Balans VL '!D14+'E Balans VL '!E14)/100/3.6*1000000</f>
        <v>1.1875369750443406E-2</v>
      </c>
      <c r="K10" s="33"/>
      <c r="L10" s="33"/>
      <c r="M10" s="33"/>
      <c r="N10" s="33">
        <f>$C$30*'E Balans VL '!Y14/100/3.6*1000000</f>
        <v>464.5828890147136</v>
      </c>
      <c r="O10" s="33"/>
      <c r="P10" s="33"/>
      <c r="R10" s="32"/>
    </row>
    <row r="11" spans="1:18">
      <c r="A11" s="32" t="s">
        <v>55</v>
      </c>
      <c r="B11" s="37">
        <f t="shared" si="0"/>
        <v>73.897481999999997</v>
      </c>
      <c r="C11" s="33"/>
      <c r="D11" s="37">
        <f>IF(ISERROR(TER_onderwijs_gas_kWh/1000),0,TER_onderwijs_gas_kWh/1000)*0.902</f>
        <v>0</v>
      </c>
      <c r="E11" s="33">
        <f>$C$31*'E Balans VL '!I11/100/3.6*1000000</f>
        <v>1.1149939801673581</v>
      </c>
      <c r="F11" s="33">
        <f>$C$31*('E Balans VL '!L11+'E Balans VL '!N11)/100/3.6*1000000</f>
        <v>12.948019393795841</v>
      </c>
      <c r="G11" s="34"/>
      <c r="H11" s="33"/>
      <c r="I11" s="33"/>
      <c r="J11" s="33">
        <f>$C$31*('E Balans VL '!D11+'E Balans VL '!E11)/100/3.6*1000000</f>
        <v>0</v>
      </c>
      <c r="K11" s="33"/>
      <c r="L11" s="33"/>
      <c r="M11" s="33"/>
      <c r="N11" s="33">
        <f>$C$31*'E Balans VL '!Y11/100/3.6*1000000</f>
        <v>0.2079531322485218</v>
      </c>
      <c r="O11" s="33"/>
      <c r="P11" s="33"/>
      <c r="R11" s="32"/>
    </row>
    <row r="12" spans="1:18">
      <c r="A12" s="32" t="s">
        <v>260</v>
      </c>
      <c r="B12" s="37">
        <f t="shared" si="0"/>
        <v>0</v>
      </c>
      <c r="C12" s="33"/>
      <c r="D12" s="37">
        <f>IF(ISERROR(TER_rest_gas_kWh/1000),0,TER_rest_gas_kWh/1000)*0.902</f>
        <v>25.863948000000001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3818.3824639999998</v>
      </c>
      <c r="C16" s="21">
        <f t="shared" ca="1" si="1"/>
        <v>0</v>
      </c>
      <c r="D16" s="21">
        <f t="shared" ca="1" si="1"/>
        <v>2084.3703737999999</v>
      </c>
      <c r="E16" s="21">
        <f t="shared" si="1"/>
        <v>58.413033546603728</v>
      </c>
      <c r="F16" s="21">
        <f t="shared" ca="1" si="1"/>
        <v>681.2335205426325</v>
      </c>
      <c r="G16" s="21">
        <f t="shared" si="1"/>
        <v>0</v>
      </c>
      <c r="H16" s="21">
        <f t="shared" si="1"/>
        <v>0</v>
      </c>
      <c r="I16" s="21">
        <f t="shared" si="1"/>
        <v>0</v>
      </c>
      <c r="J16" s="21">
        <f t="shared" si="1"/>
        <v>1.1875369750443406E-2</v>
      </c>
      <c r="K16" s="21">
        <f t="shared" si="1"/>
        <v>0</v>
      </c>
      <c r="L16" s="21">
        <f t="shared" ca="1" si="1"/>
        <v>0</v>
      </c>
      <c r="M16" s="21">
        <f t="shared" si="1"/>
        <v>0</v>
      </c>
      <c r="N16" s="21">
        <f t="shared" ca="1" si="1"/>
        <v>473.93174076079288</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0.21049272532497296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803.74173118044541</v>
      </c>
      <c r="C20" s="23">
        <f t="shared" ref="C20:P20" ca="1" si="2">C16*C18</f>
        <v>0</v>
      </c>
      <c r="D20" s="23">
        <f t="shared" ca="1" si="2"/>
        <v>421.04281550760004</v>
      </c>
      <c r="E20" s="23">
        <f t="shared" si="2"/>
        <v>13.259758615079047</v>
      </c>
      <c r="F20" s="23">
        <f t="shared" ca="1" si="2"/>
        <v>181.8893499848829</v>
      </c>
      <c r="G20" s="23">
        <f t="shared" si="2"/>
        <v>0</v>
      </c>
      <c r="H20" s="23">
        <f t="shared" si="2"/>
        <v>0</v>
      </c>
      <c r="I20" s="23">
        <f t="shared" si="2"/>
        <v>0</v>
      </c>
      <c r="J20" s="23">
        <f t="shared" si="2"/>
        <v>4.2038808916569654E-3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922.80947500000002</v>
      </c>
      <c r="C26" s="39">
        <f>IF(ISERROR(B26*3.6/1000000/'E Balans VL '!Z12*100),0,B26*3.6/1000000/'E Balans VL '!Z12*100)</f>
        <v>1.9506730453210705E-2</v>
      </c>
      <c r="D26" s="237" t="s">
        <v>754</v>
      </c>
      <c r="F26" s="6"/>
    </row>
    <row r="27" spans="1:18">
      <c r="A27" s="231" t="s">
        <v>53</v>
      </c>
      <c r="B27" s="33">
        <f>IF(ISERROR(TER_horeca_ele_kWh/1000),0,TER_horeca_ele_kWh/1000)</f>
        <v>513.75274999999999</v>
      </c>
      <c r="C27" s="39">
        <f>IF(ISERROR(B27*3.6/1000000/'E Balans VL '!Z9*100),0,B27*3.6/1000000/'E Balans VL '!Z9*100)</f>
        <v>4.0498937797074384E-2</v>
      </c>
      <c r="D27" s="237" t="s">
        <v>754</v>
      </c>
      <c r="F27" s="6"/>
    </row>
    <row r="28" spans="1:18">
      <c r="A28" s="171" t="s">
        <v>52</v>
      </c>
      <c r="B28" s="33">
        <f>IF(ISERROR(TER_handel_ele_kWh/1000),0,TER_handel_ele_kWh/1000)</f>
        <v>1358.0985000000001</v>
      </c>
      <c r="C28" s="39">
        <f>IF(ISERROR(B28*3.6/1000000/'E Balans VL '!Z13*100),0,B28*3.6/1000000/'E Balans VL '!Z13*100)</f>
        <v>3.9417505802829142E-2</v>
      </c>
      <c r="D28" s="237" t="s">
        <v>754</v>
      </c>
      <c r="F28" s="6"/>
    </row>
    <row r="29" spans="1:18">
      <c r="A29" s="231" t="s">
        <v>51</v>
      </c>
      <c r="B29" s="33">
        <f>IF(ISERROR(TER_gezond_ele_kWh/1000),0,TER_gezond_ele_kWh/1000)</f>
        <v>402.72548599999999</v>
      </c>
      <c r="C29" s="39">
        <f>IF(ISERROR(B29*3.6/1000000/'E Balans VL '!Z10*100),0,B29*3.6/1000000/'E Balans VL '!Z10*100)</f>
        <v>4.2413606602835829E-2</v>
      </c>
      <c r="D29" s="237" t="s">
        <v>754</v>
      </c>
      <c r="F29" s="6"/>
    </row>
    <row r="30" spans="1:18">
      <c r="A30" s="231" t="s">
        <v>50</v>
      </c>
      <c r="B30" s="33">
        <f>IF(ISERROR(TER_ander_ele_kWh/1000),0,TER_ander_ele_kWh/1000)</f>
        <v>547.09877099999994</v>
      </c>
      <c r="C30" s="39">
        <f>IF(ISERROR(B30*3.6/1000000/'E Balans VL '!Z14*100),0,B30*3.6/1000000/'E Balans VL '!Z14*100)</f>
        <v>4.0354124178221963E-2</v>
      </c>
      <c r="D30" s="237" t="s">
        <v>754</v>
      </c>
      <c r="F30" s="6"/>
    </row>
    <row r="31" spans="1:18">
      <c r="A31" s="231" t="s">
        <v>55</v>
      </c>
      <c r="B31" s="33">
        <f>IF(ISERROR(TER_onderwijs_ele_kWh/1000),0,TER_onderwijs_ele_kWh/1000)</f>
        <v>73.897481999999997</v>
      </c>
      <c r="C31" s="39">
        <f>IF(ISERROR(B31*3.6/1000000/'E Balans VL '!Z11*100),0,B31*3.6/1000000/'E Balans VL '!Z11*100)</f>
        <v>1.835220634251539E-2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11140.578799999999</v>
      </c>
      <c r="C5" s="17">
        <f>IF(ISERROR('Eigen informatie GS &amp; warmtenet'!B59),0,'Eigen informatie GS &amp; warmtenet'!B59)</f>
        <v>0</v>
      </c>
      <c r="D5" s="30">
        <f>SUM(D6:D15)</f>
        <v>18293.128259999998</v>
      </c>
      <c r="E5" s="17">
        <f>SUM(E6:E15)</f>
        <v>161.23817835042328</v>
      </c>
      <c r="F5" s="17">
        <f>SUM(F6:F15)</f>
        <v>1059.8497999399374</v>
      </c>
      <c r="G5" s="18"/>
      <c r="H5" s="17"/>
      <c r="I5" s="17"/>
      <c r="J5" s="17">
        <f>SUM(J6:J15)</f>
        <v>2.9212925793283061E-2</v>
      </c>
      <c r="K5" s="17"/>
      <c r="L5" s="17"/>
      <c r="M5" s="17"/>
      <c r="N5" s="17">
        <f>SUM(N6:N15)</f>
        <v>970.64384164203409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131.97900000000001</v>
      </c>
      <c r="C8" s="33"/>
      <c r="D8" s="37">
        <f>IF( ISERROR(IND_metaal_Gas_kWH/1000),0,IND_metaal_Gas_kWH/1000)*0.902</f>
        <v>0</v>
      </c>
      <c r="E8" s="33">
        <f>C30*'E Balans VL '!I18/100/3.6*1000000</f>
        <v>1.2134194384695896</v>
      </c>
      <c r="F8" s="33">
        <f>C30*'E Balans VL '!L18/100/3.6*1000000+C30*'E Balans VL '!N18/100/3.6*1000000</f>
        <v>12.375236174306576</v>
      </c>
      <c r="G8" s="34"/>
      <c r="H8" s="33"/>
      <c r="I8" s="33"/>
      <c r="J8" s="40">
        <f>C30*'E Balans VL '!D18/100/3.6*1000000+C30*'E Balans VL '!E18/100/3.6*1000000</f>
        <v>0</v>
      </c>
      <c r="K8" s="33"/>
      <c r="L8" s="33"/>
      <c r="M8" s="33"/>
      <c r="N8" s="33">
        <f>C30*'E Balans VL '!Y18/100/3.6*1000000</f>
        <v>1.8828985394821083</v>
      </c>
      <c r="O8" s="33"/>
      <c r="P8" s="33"/>
      <c r="R8" s="32"/>
    </row>
    <row r="9" spans="1:18">
      <c r="A9" s="6" t="s">
        <v>33</v>
      </c>
      <c r="B9" s="37">
        <f t="shared" si="0"/>
        <v>469.98779999999999</v>
      </c>
      <c r="C9" s="33"/>
      <c r="D9" s="37">
        <f>IF( ISERROR(IND_andere_gas_kWh/1000),0,IND_andere_gas_kWh/1000)*0.902</f>
        <v>164.17211799999998</v>
      </c>
      <c r="E9" s="33">
        <f>C31*'E Balans VL '!I19/100/3.6*1000000</f>
        <v>137.38658352327889</v>
      </c>
      <c r="F9" s="33">
        <f>C31*'E Balans VL '!L19/100/3.6*1000000+C31*'E Balans VL '!N19/100/3.6*1000000</f>
        <v>377.67077210763597</v>
      </c>
      <c r="G9" s="34"/>
      <c r="H9" s="33"/>
      <c r="I9" s="33"/>
      <c r="J9" s="40">
        <f>C31*'E Balans VL '!D19/100/3.6*1000000+C31*'E Balans VL '!E19/100/3.6*1000000</f>
        <v>0</v>
      </c>
      <c r="K9" s="33"/>
      <c r="L9" s="33"/>
      <c r="M9" s="33"/>
      <c r="N9" s="33">
        <f>C31*'E Balans VL '!Y19/100/3.6*1000000</f>
        <v>155.29125811398788</v>
      </c>
      <c r="O9" s="33"/>
      <c r="P9" s="33"/>
      <c r="R9" s="32"/>
    </row>
    <row r="10" spans="1:18">
      <c r="A10" s="6" t="s">
        <v>41</v>
      </c>
      <c r="B10" s="37">
        <f t="shared" si="0"/>
        <v>10501.746999999999</v>
      </c>
      <c r="C10" s="33"/>
      <c r="D10" s="37">
        <f>IF( ISERROR(IND_voed_gas_kWh/1000),0,IND_voed_gas_kWh/1000)*0.902</f>
        <v>0</v>
      </c>
      <c r="E10" s="33">
        <f>C32*'E Balans VL '!I20/100/3.6*1000000</f>
        <v>22.21660861001579</v>
      </c>
      <c r="F10" s="33">
        <f>C32*'E Balans VL '!L20/100/3.6*1000000+C32*'E Balans VL '!N20/100/3.6*1000000</f>
        <v>667.71180147998973</v>
      </c>
      <c r="G10" s="34"/>
      <c r="H10" s="33"/>
      <c r="I10" s="33"/>
      <c r="J10" s="40">
        <f>C32*'E Balans VL '!D20/100/3.6*1000000+C32*'E Balans VL '!E20/100/3.6*1000000</f>
        <v>0</v>
      </c>
      <c r="K10" s="33"/>
      <c r="L10" s="33"/>
      <c r="M10" s="33"/>
      <c r="N10" s="33">
        <f>C32*'E Balans VL '!Y20/100/3.6*1000000</f>
        <v>724.72417677164401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30.001000000000001</v>
      </c>
      <c r="C13" s="33"/>
      <c r="D13" s="37">
        <f>IF( ISERROR(IND_papier_gas_kWh/1000),0,IND_papier_gas_kWh/1000)*0.902</f>
        <v>0</v>
      </c>
      <c r="E13" s="33">
        <f>C35*'E Balans VL '!I23/100/3.6*1000000</f>
        <v>4.2564557824563164E-2</v>
      </c>
      <c r="F13" s="33">
        <f>C35*'E Balans VL '!L23/100/3.6*1000000+C35*'E Balans VL '!N23/100/3.6*1000000</f>
        <v>0.73243722103342468</v>
      </c>
      <c r="G13" s="34"/>
      <c r="H13" s="33"/>
      <c r="I13" s="33"/>
      <c r="J13" s="40">
        <f>C35*'E Balans VL '!D23/100/3.6*1000000+C35*'E Balans VL '!E23/100/3.6*1000000</f>
        <v>4.6399363165520423E-3</v>
      </c>
      <c r="K13" s="33"/>
      <c r="L13" s="33"/>
      <c r="M13" s="33"/>
      <c r="N13" s="33">
        <f>C35*'E Balans VL '!Y23/100/3.6*1000000</f>
        <v>87.205805275506975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6.8639999999999999</v>
      </c>
      <c r="C15" s="33"/>
      <c r="D15" s="37">
        <f>IF( ISERROR(IND_rest_gas_kWh/1000),0,IND_rest_gas_kWh/1000)*0.902</f>
        <v>18128.956141999999</v>
      </c>
      <c r="E15" s="33">
        <f>C37*'E Balans VL '!I15/100/3.6*1000000</f>
        <v>0.37900222083443946</v>
      </c>
      <c r="F15" s="33">
        <f>C37*'E Balans VL '!L15/100/3.6*1000000+C37*'E Balans VL '!N15/100/3.6*1000000</f>
        <v>1.3595529569716116</v>
      </c>
      <c r="G15" s="34"/>
      <c r="H15" s="33"/>
      <c r="I15" s="33"/>
      <c r="J15" s="40">
        <f>C37*'E Balans VL '!D15/100/3.6*1000000+C37*'E Balans VL '!E15/100/3.6*1000000</f>
        <v>2.4572989476731019E-2</v>
      </c>
      <c r="K15" s="33"/>
      <c r="L15" s="33"/>
      <c r="M15" s="33"/>
      <c r="N15" s="33">
        <f>C37*'E Balans VL '!Y15/100/3.6*1000000</f>
        <v>1.5397029414130599</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11140.578799999999</v>
      </c>
      <c r="C18" s="21">
        <f>C5+C16</f>
        <v>0</v>
      </c>
      <c r="D18" s="21">
        <f>MAX((D5+D16),0)</f>
        <v>18293.128259999998</v>
      </c>
      <c r="E18" s="21">
        <f>MAX((E5+E16),0)</f>
        <v>161.23817835042328</v>
      </c>
      <c r="F18" s="21">
        <f>MAX((F5+F16),0)</f>
        <v>1059.8497999399374</v>
      </c>
      <c r="G18" s="21"/>
      <c r="H18" s="21"/>
      <c r="I18" s="21"/>
      <c r="J18" s="21">
        <f>MAX((J5+J16),0)</f>
        <v>2.9212925793283061E-2</v>
      </c>
      <c r="K18" s="21"/>
      <c r="L18" s="21">
        <f>MAX((L5+L16),0)</f>
        <v>0</v>
      </c>
      <c r="M18" s="21"/>
      <c r="N18" s="21">
        <f>MAX((N5+N16),0)</f>
        <v>970.64384164203409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0.21049272532497296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2345.0107933096165</v>
      </c>
      <c r="C22" s="23">
        <f ca="1">C18*C20</f>
        <v>0</v>
      </c>
      <c r="D22" s="23">
        <f>D18*D20</f>
        <v>3695.2119085199997</v>
      </c>
      <c r="E22" s="23">
        <f>E18*E20</f>
        <v>36.601066485546085</v>
      </c>
      <c r="F22" s="23">
        <f>F18*F20</f>
        <v>282.9798965839633</v>
      </c>
      <c r="G22" s="23"/>
      <c r="H22" s="23"/>
      <c r="I22" s="23"/>
      <c r="J22" s="23">
        <f>J18*J20</f>
        <v>1.0341375730822203E-2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131.97900000000001</v>
      </c>
      <c r="C30" s="39">
        <f>IF(ISERROR(B30*3.6/1000000/'E Balans VL '!Z18*100),0,B30*3.6/1000000/'E Balans VL '!Z18*100)</f>
        <v>7.4795883462900632E-3</v>
      </c>
      <c r="D30" s="237" t="s">
        <v>754</v>
      </c>
    </row>
    <row r="31" spans="1:18">
      <c r="A31" s="6" t="s">
        <v>33</v>
      </c>
      <c r="B31" s="37">
        <f>IF( ISERROR(IND_ander_ele_kWh/1000),0,IND_ander_ele_kWh/1000)</f>
        <v>469.98779999999999</v>
      </c>
      <c r="C31" s="39">
        <f>IF(ISERROR(B31*3.6/1000000/'E Balans VL '!Z19*100),0,B31*3.6/1000000/'E Balans VL '!Z19*100)</f>
        <v>2.1316689612861702E-2</v>
      </c>
      <c r="D31" s="237" t="s">
        <v>754</v>
      </c>
    </row>
    <row r="32" spans="1:18">
      <c r="A32" s="171" t="s">
        <v>41</v>
      </c>
      <c r="B32" s="37">
        <f>IF( ISERROR(IND_voed_ele_kWh/1000),0,IND_voed_ele_kWh/1000)</f>
        <v>10501.746999999999</v>
      </c>
      <c r="C32" s="39">
        <f>IF(ISERROR(B32*3.6/1000000/'E Balans VL '!Z20*100),0,B32*3.6/1000000/'E Balans VL '!Z20*100)</f>
        <v>0.32486670861601025</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30.001000000000001</v>
      </c>
      <c r="C35" s="39">
        <f>IF(ISERROR(B35*3.6/1000000/'E Balans VL '!Z22*100),0,B35*3.6/1000000/'E Balans VL '!Z22*100)</f>
        <v>5.3962438795800679E-3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6.8639999999999999</v>
      </c>
      <c r="C37" s="39">
        <f>IF(ISERROR(B37*3.6/1000000/'E Balans VL '!Z15*100),0,B37*3.6/1000000/'E Balans VL '!Z15*100)</f>
        <v>5.4405629793713957E-5</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952.18399999999997</v>
      </c>
      <c r="C5" s="17">
        <f>'Eigen informatie GS &amp; warmtenet'!B60</f>
        <v>0</v>
      </c>
      <c r="D5" s="30">
        <f>IF(ISERROR(SUM(LB_lb_gas_kWh,LB_rest_gas_kWh)/1000),0,SUM(LB_lb_gas_kWh,LB_rest_gas_kWh)/1000)*0.902</f>
        <v>65.277740000000009</v>
      </c>
      <c r="E5" s="17">
        <f>B17*'E Balans VL '!I25/3.6*1000000/100</f>
        <v>27.987596065616991</v>
      </c>
      <c r="F5" s="17">
        <f>B17*('E Balans VL '!L25/3.6*1000000+'E Balans VL '!N25/3.6*1000000)/100</f>
        <v>3966.7470906773046</v>
      </c>
      <c r="G5" s="18"/>
      <c r="H5" s="17"/>
      <c r="I5" s="17"/>
      <c r="J5" s="17">
        <f>('E Balans VL '!D25+'E Balans VL '!E25)/3.6*1000000*landbouw!B17/100</f>
        <v>137.95101321452964</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952.18399999999997</v>
      </c>
      <c r="C8" s="21">
        <f>C5+C6</f>
        <v>0</v>
      </c>
      <c r="D8" s="21">
        <f>MAX((D5+D6),0)</f>
        <v>65.277740000000009</v>
      </c>
      <c r="E8" s="21">
        <f>MAX((E5+E6),0)</f>
        <v>27.987596065616991</v>
      </c>
      <c r="F8" s="21">
        <f>MAX((F5+F6),0)</f>
        <v>3966.7470906773046</v>
      </c>
      <c r="G8" s="21"/>
      <c r="H8" s="21"/>
      <c r="I8" s="21"/>
      <c r="J8" s="21">
        <f>MAX((J5+J6),0)</f>
        <v>137.95101321452964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0.21049272532497296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200.42780517083403</v>
      </c>
      <c r="C12" s="23">
        <f ca="1">C8*C10</f>
        <v>0</v>
      </c>
      <c r="D12" s="23">
        <f>D8*D10</f>
        <v>13.186103480000003</v>
      </c>
      <c r="E12" s="23">
        <f>E8*E10</f>
        <v>6.3531843068950575</v>
      </c>
      <c r="F12" s="23">
        <f>F8*F10</f>
        <v>1059.1214732108403</v>
      </c>
      <c r="G12" s="23"/>
      <c r="H12" s="23"/>
      <c r="I12" s="23"/>
      <c r="J12" s="23">
        <f>J8*J10</f>
        <v>48.834658677943487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0.135117896986194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400.20233608471881</v>
      </c>
      <c r="C26" s="247">
        <f>B26*'GWP N2O_CH4'!B5</f>
        <v>8404.2490577790959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65.77167202273651</v>
      </c>
      <c r="C27" s="247">
        <f>B27*'GWP N2O_CH4'!B5</f>
        <v>1381.2051124774666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4.8538782235431448</v>
      </c>
      <c r="C28" s="247">
        <f>B28*'GWP N2O_CH4'!B4</f>
        <v>1504.7022492983749</v>
      </c>
      <c r="D28" s="50"/>
    </row>
    <row r="29" spans="1:4">
      <c r="A29" s="41" t="s">
        <v>277</v>
      </c>
      <c r="B29" s="247">
        <f>B34*'ha_N2O bodem landbouw'!B4</f>
        <v>21.957325113766814</v>
      </c>
      <c r="C29" s="247">
        <f>B29*'GWP N2O_CH4'!B4</f>
        <v>6806.7707852677122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5.0105859226529832E-3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9.2164455201821028E-5</v>
      </c>
      <c r="C5" s="463" t="s">
        <v>211</v>
      </c>
      <c r="D5" s="448">
        <f>SUM(D6:D11)</f>
        <v>3.0352512163378076E-4</v>
      </c>
      <c r="E5" s="448">
        <f>SUM(E6:E11)</f>
        <v>4.0841102297688398E-4</v>
      </c>
      <c r="F5" s="461" t="s">
        <v>211</v>
      </c>
      <c r="G5" s="448">
        <f>SUM(G6:G11)</f>
        <v>0.14368062277496946</v>
      </c>
      <c r="H5" s="448">
        <f>SUM(H6:H11)</f>
        <v>3.4335806213113128E-2</v>
      </c>
      <c r="I5" s="463" t="s">
        <v>211</v>
      </c>
      <c r="J5" s="463" t="s">
        <v>211</v>
      </c>
      <c r="K5" s="463" t="s">
        <v>211</v>
      </c>
      <c r="L5" s="463" t="s">
        <v>211</v>
      </c>
      <c r="M5" s="448">
        <f>SUM(M6:M11)</f>
        <v>9.4074857686801856E-3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8.0558008641200897E-5</v>
      </c>
      <c r="C6" s="449"/>
      <c r="D6" s="892">
        <f>vkm_2011_GW_PW*SUMIFS(TableVerdeelsleutelVkm[CNG],TableVerdeelsleutelVkm[Voertuigtype],"Lichte voertuigen")*SUMIFS(TableECFTransport[EnergieConsumptieFactor (PJ per km)],TableECFTransport[Index],CONCATENATE($A6,"_CNG_CNG"))</f>
        <v>2.4162778983232312E-4</v>
      </c>
      <c r="E6" s="892">
        <f>vkm_2011_GW_PW*SUMIFS(TableVerdeelsleutelVkm[LPG],TableVerdeelsleutelVkm[Voertuigtype],"Lichte voertuigen")*SUMIFS(TableECFTransport[EnergieConsumptieFactor (PJ per km)],TableECFTransport[Index],CONCATENATE($A6,"_LPG_LPG"))</f>
        <v>3.3009826903246831E-4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8.5348280431952875E-2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2.7482380794611305E-2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5.7971565804961333E-3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3.6864246823397229E-2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1.1235473346469793E-5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2.154222211450149E-3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1.160644656062013E-5</v>
      </c>
      <c r="C8" s="449"/>
      <c r="D8" s="451">
        <f>vkm_2011_NGW_PW*SUMIFS(TableVerdeelsleutelVkm[CNG],TableVerdeelsleutelVkm[Voertuigtype],"Lichte voertuigen")*SUMIFS(TableECFTransport[EnergieConsumptieFactor (PJ per km)],TableECFTransport[Index],CONCATENATE($A8,"_CNG_CNG"))</f>
        <v>6.1897331801457614E-5</v>
      </c>
      <c r="E8" s="451">
        <f>vkm_2011_NGW_PW*SUMIFS(TableVerdeelsleutelVkm[LPG],TableVerdeelsleutelVkm[Voertuigtype],"Lichte voertuigen")*SUMIFS(TableECFTransport[EnergieConsumptieFactor (PJ per km)],TableECFTransport[Index],CONCATENATE($A8,"_LPG_LPG"))</f>
        <v>7.8312753944415666E-5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1.8869075834080928E-2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6.8414442247459071E-3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1.3042304034816144E-3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2.5990196855384278E-3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7.4572040944409274E-7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1.5187657325229053E-4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25.601237556061395</v>
      </c>
      <c r="C14" s="21"/>
      <c r="D14" s="21">
        <f t="shared" ref="D14:M14" si="0">((D5)*10^9/3600)+D12</f>
        <v>84.312533787161328</v>
      </c>
      <c r="E14" s="21">
        <f t="shared" si="0"/>
        <v>113.44750638246776</v>
      </c>
      <c r="F14" s="21"/>
      <c r="G14" s="21">
        <f t="shared" si="0"/>
        <v>39911.284104158185</v>
      </c>
      <c r="H14" s="21">
        <f t="shared" si="0"/>
        <v>9537.7239480869812</v>
      </c>
      <c r="I14" s="21"/>
      <c r="J14" s="21"/>
      <c r="K14" s="21"/>
      <c r="L14" s="21"/>
      <c r="M14" s="21">
        <f t="shared" si="0"/>
        <v>2613.1904913000512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0.21049272532497296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5.3888742648674128</v>
      </c>
      <c r="C18" s="23"/>
      <c r="D18" s="23">
        <f t="shared" ref="D18:M18" si="1">D14*D16</f>
        <v>17.03113182500659</v>
      </c>
      <c r="E18" s="23">
        <f t="shared" si="1"/>
        <v>25.752583948820185</v>
      </c>
      <c r="F18" s="23"/>
      <c r="G18" s="23">
        <f t="shared" si="1"/>
        <v>10656.312855810236</v>
      </c>
      <c r="H18" s="23">
        <f t="shared" si="1"/>
        <v>2374.8932630736581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1.3224463534427121E-3</v>
      </c>
      <c r="H50" s="321">
        <f t="shared" si="2"/>
        <v>0</v>
      </c>
      <c r="I50" s="321">
        <f t="shared" si="2"/>
        <v>0</v>
      </c>
      <c r="J50" s="321">
        <f t="shared" si="2"/>
        <v>0</v>
      </c>
      <c r="K50" s="321">
        <f t="shared" si="2"/>
        <v>0</v>
      </c>
      <c r="L50" s="321">
        <f t="shared" si="2"/>
        <v>0</v>
      </c>
      <c r="M50" s="321">
        <f t="shared" si="2"/>
        <v>7.5109114835104278E-5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1.3224463534427121E-3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7.5109114835104278E-5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367.34620928964222</v>
      </c>
      <c r="H54" s="21">
        <f t="shared" si="3"/>
        <v>0</v>
      </c>
      <c r="I54" s="21">
        <f t="shared" si="3"/>
        <v>0</v>
      </c>
      <c r="J54" s="21">
        <f t="shared" si="3"/>
        <v>0</v>
      </c>
      <c r="K54" s="21">
        <f t="shared" si="3"/>
        <v>0</v>
      </c>
      <c r="L54" s="21">
        <f t="shared" si="3"/>
        <v>0</v>
      </c>
      <c r="M54" s="21">
        <f t="shared" si="3"/>
        <v>20.86364300975119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0.21049272532497296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98.081437880334477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4387.7264639999994</v>
      </c>
      <c r="D10" s="1013">
        <f ca="1">tertiair!C16</f>
        <v>0</v>
      </c>
      <c r="E10" s="1013">
        <f ca="1">tertiair!D16</f>
        <v>2084.3703737999999</v>
      </c>
      <c r="F10" s="1013">
        <f>tertiair!E16</f>
        <v>58.413033546603728</v>
      </c>
      <c r="G10" s="1013">
        <f ca="1">tertiair!F16</f>
        <v>681.2335205426325</v>
      </c>
      <c r="H10" s="1013">
        <f>tertiair!G16</f>
        <v>0</v>
      </c>
      <c r="I10" s="1013">
        <f>tertiair!H16</f>
        <v>0</v>
      </c>
      <c r="J10" s="1013">
        <f>tertiair!I16</f>
        <v>0</v>
      </c>
      <c r="K10" s="1013">
        <f>tertiair!J16</f>
        <v>1.1875369750443406E-2</v>
      </c>
      <c r="L10" s="1013">
        <f>tertiair!K16</f>
        <v>0</v>
      </c>
      <c r="M10" s="1013">
        <f ca="1">tertiair!L16</f>
        <v>0</v>
      </c>
      <c r="N10" s="1013">
        <f>tertiair!M16</f>
        <v>0</v>
      </c>
      <c r="O10" s="1013">
        <f ca="1">tertiair!N16</f>
        <v>473.93174076079288</v>
      </c>
      <c r="P10" s="1013">
        <f>tertiair!O16</f>
        <v>1.5633333333333335</v>
      </c>
      <c r="Q10" s="1014">
        <f>tertiair!P16</f>
        <v>19.066666666666666</v>
      </c>
      <c r="R10" s="700">
        <f ca="1">SUM(C10:Q10)</f>
        <v>7706.3170080197797</v>
      </c>
      <c r="S10" s="67"/>
    </row>
    <row r="11" spans="1:19" s="473" customFormat="1">
      <c r="A11" s="809" t="s">
        <v>225</v>
      </c>
      <c r="B11" s="814"/>
      <c r="C11" s="1013">
        <f>huishoudens!B8</f>
        <v>12054.793347870751</v>
      </c>
      <c r="D11" s="1013">
        <f>huishoudens!C8</f>
        <v>0</v>
      </c>
      <c r="E11" s="1013">
        <f>huishoudens!D8</f>
        <v>8732.1403652999998</v>
      </c>
      <c r="F11" s="1013">
        <f>huishoudens!E8</f>
        <v>3928.928130606947</v>
      </c>
      <c r="G11" s="1013">
        <f>huishoudens!F8</f>
        <v>32694.317199542449</v>
      </c>
      <c r="H11" s="1013">
        <f>huishoudens!G8</f>
        <v>0</v>
      </c>
      <c r="I11" s="1013">
        <f>huishoudens!H8</f>
        <v>0</v>
      </c>
      <c r="J11" s="1013">
        <f>huishoudens!I8</f>
        <v>0</v>
      </c>
      <c r="K11" s="1013">
        <f>huishoudens!J8</f>
        <v>2119.1456507492949</v>
      </c>
      <c r="L11" s="1013">
        <f>huishoudens!K8</f>
        <v>0</v>
      </c>
      <c r="M11" s="1013">
        <f>huishoudens!L8</f>
        <v>0</v>
      </c>
      <c r="N11" s="1013">
        <f>huishoudens!M8</f>
        <v>0</v>
      </c>
      <c r="O11" s="1013">
        <f>huishoudens!N8</f>
        <v>9976.5451700735375</v>
      </c>
      <c r="P11" s="1013">
        <f>huishoudens!O8</f>
        <v>96.926666666666677</v>
      </c>
      <c r="Q11" s="1014">
        <f>huishoudens!P8</f>
        <v>457.6</v>
      </c>
      <c r="R11" s="700">
        <f>SUM(C11:Q11)</f>
        <v>70060.396530809652</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11140.578799999999</v>
      </c>
      <c r="D13" s="1013">
        <f>industrie!C18</f>
        <v>0</v>
      </c>
      <c r="E13" s="1013">
        <f>industrie!D18</f>
        <v>18293.128259999998</v>
      </c>
      <c r="F13" s="1013">
        <f>industrie!E18</f>
        <v>161.23817835042328</v>
      </c>
      <c r="G13" s="1013">
        <f>industrie!F18</f>
        <v>1059.8497999399374</v>
      </c>
      <c r="H13" s="1013">
        <f>industrie!G18</f>
        <v>0</v>
      </c>
      <c r="I13" s="1013">
        <f>industrie!H18</f>
        <v>0</v>
      </c>
      <c r="J13" s="1013">
        <f>industrie!I18</f>
        <v>0</v>
      </c>
      <c r="K13" s="1013">
        <f>industrie!J18</f>
        <v>2.9212925793283061E-2</v>
      </c>
      <c r="L13" s="1013">
        <f>industrie!K18</f>
        <v>0</v>
      </c>
      <c r="M13" s="1013">
        <f>industrie!L18</f>
        <v>0</v>
      </c>
      <c r="N13" s="1013">
        <f>industrie!M18</f>
        <v>0</v>
      </c>
      <c r="O13" s="1013">
        <f>industrie!N18</f>
        <v>970.64384164203409</v>
      </c>
      <c r="P13" s="1013">
        <f>industrie!O18</f>
        <v>0</v>
      </c>
      <c r="Q13" s="1014">
        <f>industrie!P18</f>
        <v>0</v>
      </c>
      <c r="R13" s="700">
        <f>SUM(C13:Q13)</f>
        <v>31625.468092858187</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27583.098611870748</v>
      </c>
      <c r="D16" s="732">
        <f t="shared" ref="D16:R16" ca="1" si="0">SUM(D9:D15)</f>
        <v>0</v>
      </c>
      <c r="E16" s="732">
        <f t="shared" ca="1" si="0"/>
        <v>29109.638999099996</v>
      </c>
      <c r="F16" s="732">
        <f t="shared" si="0"/>
        <v>4148.5793425039737</v>
      </c>
      <c r="G16" s="732">
        <f t="shared" ca="1" si="0"/>
        <v>34435.400520025025</v>
      </c>
      <c r="H16" s="732">
        <f t="shared" si="0"/>
        <v>0</v>
      </c>
      <c r="I16" s="732">
        <f t="shared" si="0"/>
        <v>0</v>
      </c>
      <c r="J16" s="732">
        <f t="shared" si="0"/>
        <v>0</v>
      </c>
      <c r="K16" s="732">
        <f t="shared" si="0"/>
        <v>2119.1867390448388</v>
      </c>
      <c r="L16" s="732">
        <f t="shared" si="0"/>
        <v>0</v>
      </c>
      <c r="M16" s="732">
        <f t="shared" ca="1" si="0"/>
        <v>0</v>
      </c>
      <c r="N16" s="732">
        <f t="shared" si="0"/>
        <v>0</v>
      </c>
      <c r="O16" s="732">
        <f t="shared" ca="1" si="0"/>
        <v>11421.120752476363</v>
      </c>
      <c r="P16" s="732">
        <f t="shared" si="0"/>
        <v>98.490000000000009</v>
      </c>
      <c r="Q16" s="732">
        <f t="shared" si="0"/>
        <v>476.66666666666669</v>
      </c>
      <c r="R16" s="732">
        <f t="shared" ca="1" si="0"/>
        <v>109392.18163168762</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367.34620928964222</v>
      </c>
      <c r="I19" s="1013">
        <f>transport!H54</f>
        <v>0</v>
      </c>
      <c r="J19" s="1013">
        <f>transport!I54</f>
        <v>0</v>
      </c>
      <c r="K19" s="1013">
        <f>transport!J54</f>
        <v>0</v>
      </c>
      <c r="L19" s="1013">
        <f>transport!K54</f>
        <v>0</v>
      </c>
      <c r="M19" s="1013">
        <f>transport!L54</f>
        <v>0</v>
      </c>
      <c r="N19" s="1013">
        <f>transport!M54</f>
        <v>20.86364300975119</v>
      </c>
      <c r="O19" s="1013">
        <f>transport!N54</f>
        <v>0</v>
      </c>
      <c r="P19" s="1013">
        <f>transport!O54</f>
        <v>0</v>
      </c>
      <c r="Q19" s="1014">
        <f>transport!P54</f>
        <v>0</v>
      </c>
      <c r="R19" s="700">
        <f>SUM(C19:Q19)</f>
        <v>388.20985229939339</v>
      </c>
      <c r="S19" s="67"/>
    </row>
    <row r="20" spans="1:19" s="473" customFormat="1">
      <c r="A20" s="809" t="s">
        <v>307</v>
      </c>
      <c r="B20" s="814"/>
      <c r="C20" s="1013">
        <f>transport!B14</f>
        <v>25.601237556061395</v>
      </c>
      <c r="D20" s="1013">
        <f>transport!C14</f>
        <v>0</v>
      </c>
      <c r="E20" s="1013">
        <f>transport!D14</f>
        <v>84.312533787161328</v>
      </c>
      <c r="F20" s="1013">
        <f>transport!E14</f>
        <v>113.44750638246776</v>
      </c>
      <c r="G20" s="1013">
        <f>transport!F14</f>
        <v>0</v>
      </c>
      <c r="H20" s="1013">
        <f>transport!G14</f>
        <v>39911.284104158185</v>
      </c>
      <c r="I20" s="1013">
        <f>transport!H14</f>
        <v>9537.7239480869812</v>
      </c>
      <c r="J20" s="1013">
        <f>transport!I14</f>
        <v>0</v>
      </c>
      <c r="K20" s="1013">
        <f>transport!J14</f>
        <v>0</v>
      </c>
      <c r="L20" s="1013">
        <f>transport!K14</f>
        <v>0</v>
      </c>
      <c r="M20" s="1013">
        <f>transport!L14</f>
        <v>0</v>
      </c>
      <c r="N20" s="1013">
        <f>transport!M14</f>
        <v>2613.1904913000512</v>
      </c>
      <c r="O20" s="1013">
        <f>transport!N14</f>
        <v>0</v>
      </c>
      <c r="P20" s="1013">
        <f>transport!O14</f>
        <v>0</v>
      </c>
      <c r="Q20" s="1014">
        <f>transport!P14</f>
        <v>0</v>
      </c>
      <c r="R20" s="700">
        <f>SUM(C20:Q20)</f>
        <v>52285.559821270916</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25.601237556061395</v>
      </c>
      <c r="D22" s="812">
        <f t="shared" ref="D22:R22" si="1">SUM(D18:D21)</f>
        <v>0</v>
      </c>
      <c r="E22" s="812">
        <f t="shared" si="1"/>
        <v>84.312533787161328</v>
      </c>
      <c r="F22" s="812">
        <f t="shared" si="1"/>
        <v>113.44750638246776</v>
      </c>
      <c r="G22" s="812">
        <f t="shared" si="1"/>
        <v>0</v>
      </c>
      <c r="H22" s="812">
        <f t="shared" si="1"/>
        <v>40278.630313447829</v>
      </c>
      <c r="I22" s="812">
        <f t="shared" si="1"/>
        <v>9537.7239480869812</v>
      </c>
      <c r="J22" s="812">
        <f t="shared" si="1"/>
        <v>0</v>
      </c>
      <c r="K22" s="812">
        <f t="shared" si="1"/>
        <v>0</v>
      </c>
      <c r="L22" s="812">
        <f t="shared" si="1"/>
        <v>0</v>
      </c>
      <c r="M22" s="812">
        <f t="shared" si="1"/>
        <v>0</v>
      </c>
      <c r="N22" s="812">
        <f t="shared" si="1"/>
        <v>2634.0541343098025</v>
      </c>
      <c r="O22" s="812">
        <f t="shared" si="1"/>
        <v>0</v>
      </c>
      <c r="P22" s="812">
        <f t="shared" si="1"/>
        <v>0</v>
      </c>
      <c r="Q22" s="812">
        <f t="shared" si="1"/>
        <v>0</v>
      </c>
      <c r="R22" s="812">
        <f t="shared" si="1"/>
        <v>52673.769673570307</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952.18399999999997</v>
      </c>
      <c r="D24" s="1013">
        <f>+landbouw!C8</f>
        <v>0</v>
      </c>
      <c r="E24" s="1013">
        <f>+landbouw!D8</f>
        <v>65.277740000000009</v>
      </c>
      <c r="F24" s="1013">
        <f>+landbouw!E8</f>
        <v>27.987596065616991</v>
      </c>
      <c r="G24" s="1013">
        <f>+landbouw!F8</f>
        <v>3966.7470906773046</v>
      </c>
      <c r="H24" s="1013">
        <f>+landbouw!G8</f>
        <v>0</v>
      </c>
      <c r="I24" s="1013">
        <f>+landbouw!H8</f>
        <v>0</v>
      </c>
      <c r="J24" s="1013">
        <f>+landbouw!I8</f>
        <v>0</v>
      </c>
      <c r="K24" s="1013">
        <f>+landbouw!J8</f>
        <v>137.95101321452964</v>
      </c>
      <c r="L24" s="1013">
        <f>+landbouw!K8</f>
        <v>0</v>
      </c>
      <c r="M24" s="1013">
        <f>+landbouw!L8</f>
        <v>0</v>
      </c>
      <c r="N24" s="1013">
        <f>+landbouw!M8</f>
        <v>0</v>
      </c>
      <c r="O24" s="1013">
        <f>+landbouw!N8</f>
        <v>0</v>
      </c>
      <c r="P24" s="1013">
        <f>+landbouw!O8</f>
        <v>0</v>
      </c>
      <c r="Q24" s="1014">
        <f>+landbouw!P8</f>
        <v>0</v>
      </c>
      <c r="R24" s="700">
        <f>SUM(C24:Q24)</f>
        <v>5150.1474399574508</v>
      </c>
      <c r="S24" s="67"/>
    </row>
    <row r="25" spans="1:19" s="473" customFormat="1" ht="15" thickBot="1">
      <c r="A25" s="831" t="s">
        <v>836</v>
      </c>
      <c r="B25" s="1016"/>
      <c r="C25" s="1017">
        <f>IF(Onbekend_ele_kWh="---",0,Onbekend_ele_kWh)/1000+IF(REST_rest_ele_kWh="---",0,REST_rest_ele_kWh)/1000</f>
        <v>206.60939999999999</v>
      </c>
      <c r="D25" s="1017"/>
      <c r="E25" s="1017">
        <f>IF(onbekend_gas_kWh="---",0,onbekend_gas_kWh)/1000+IF(REST_rest_gas_kWh="---",0,REST_rest_gas_kWh)/1000</f>
        <v>273.608</v>
      </c>
      <c r="F25" s="1017"/>
      <c r="G25" s="1017"/>
      <c r="H25" s="1017"/>
      <c r="I25" s="1017"/>
      <c r="J25" s="1017"/>
      <c r="K25" s="1017"/>
      <c r="L25" s="1017"/>
      <c r="M25" s="1017"/>
      <c r="N25" s="1017"/>
      <c r="O25" s="1017"/>
      <c r="P25" s="1017"/>
      <c r="Q25" s="1018"/>
      <c r="R25" s="700">
        <f>SUM(C25:Q25)</f>
        <v>480.2174</v>
      </c>
      <c r="S25" s="67"/>
    </row>
    <row r="26" spans="1:19" s="473" customFormat="1" ht="15.75" thickBot="1">
      <c r="A26" s="705" t="s">
        <v>837</v>
      </c>
      <c r="B26" s="817"/>
      <c r="C26" s="812">
        <f>SUM(C24:C25)</f>
        <v>1158.7934</v>
      </c>
      <c r="D26" s="812">
        <f t="shared" ref="D26:R26" si="2">SUM(D24:D25)</f>
        <v>0</v>
      </c>
      <c r="E26" s="812">
        <f t="shared" si="2"/>
        <v>338.88574</v>
      </c>
      <c r="F26" s="812">
        <f t="shared" si="2"/>
        <v>27.987596065616991</v>
      </c>
      <c r="G26" s="812">
        <f t="shared" si="2"/>
        <v>3966.7470906773046</v>
      </c>
      <c r="H26" s="812">
        <f t="shared" si="2"/>
        <v>0</v>
      </c>
      <c r="I26" s="812">
        <f t="shared" si="2"/>
        <v>0</v>
      </c>
      <c r="J26" s="812">
        <f t="shared" si="2"/>
        <v>0</v>
      </c>
      <c r="K26" s="812">
        <f t="shared" si="2"/>
        <v>137.95101321452964</v>
      </c>
      <c r="L26" s="812">
        <f t="shared" si="2"/>
        <v>0</v>
      </c>
      <c r="M26" s="812">
        <f t="shared" si="2"/>
        <v>0</v>
      </c>
      <c r="N26" s="812">
        <f t="shared" si="2"/>
        <v>0</v>
      </c>
      <c r="O26" s="812">
        <f t="shared" si="2"/>
        <v>0</v>
      </c>
      <c r="P26" s="812">
        <f t="shared" si="2"/>
        <v>0</v>
      </c>
      <c r="Q26" s="812">
        <f t="shared" si="2"/>
        <v>0</v>
      </c>
      <c r="R26" s="812">
        <f t="shared" si="2"/>
        <v>5630.3648399574504</v>
      </c>
      <c r="S26" s="67"/>
    </row>
    <row r="27" spans="1:19" s="473" customFormat="1" ht="17.25" thickTop="1" thickBot="1">
      <c r="A27" s="706" t="s">
        <v>116</v>
      </c>
      <c r="B27" s="805"/>
      <c r="C27" s="707">
        <f ca="1">C22+C16+C26</f>
        <v>28767.493249426807</v>
      </c>
      <c r="D27" s="707">
        <f t="shared" ref="D27:R27" ca="1" si="3">D22+D16+D26</f>
        <v>0</v>
      </c>
      <c r="E27" s="707">
        <f t="shared" ca="1" si="3"/>
        <v>29532.837272887158</v>
      </c>
      <c r="F27" s="707">
        <f t="shared" si="3"/>
        <v>4290.0144449520585</v>
      </c>
      <c r="G27" s="707">
        <f t="shared" ca="1" si="3"/>
        <v>38402.147610702326</v>
      </c>
      <c r="H27" s="707">
        <f t="shared" si="3"/>
        <v>40278.630313447829</v>
      </c>
      <c r="I27" s="707">
        <f t="shared" si="3"/>
        <v>9537.7239480869812</v>
      </c>
      <c r="J27" s="707">
        <f t="shared" si="3"/>
        <v>0</v>
      </c>
      <c r="K27" s="707">
        <f t="shared" si="3"/>
        <v>2257.1377522593684</v>
      </c>
      <c r="L27" s="707">
        <f t="shared" si="3"/>
        <v>0</v>
      </c>
      <c r="M27" s="707">
        <f t="shared" ca="1" si="3"/>
        <v>0</v>
      </c>
      <c r="N27" s="707">
        <f t="shared" si="3"/>
        <v>2634.0541343098025</v>
      </c>
      <c r="O27" s="707">
        <f t="shared" ca="1" si="3"/>
        <v>11421.120752476363</v>
      </c>
      <c r="P27" s="707">
        <f t="shared" si="3"/>
        <v>98.490000000000009</v>
      </c>
      <c r="Q27" s="707">
        <f t="shared" si="3"/>
        <v>476.66666666666669</v>
      </c>
      <c r="R27" s="707">
        <f t="shared" ca="1" si="3"/>
        <v>167696.31614521536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923.58450138786679</v>
      </c>
      <c r="D40" s="1013">
        <f ca="1">tertiair!C20</f>
        <v>0</v>
      </c>
      <c r="E40" s="1013">
        <f ca="1">tertiair!D20</f>
        <v>421.04281550760004</v>
      </c>
      <c r="F40" s="1013">
        <f>tertiair!E20</f>
        <v>13.259758615079047</v>
      </c>
      <c r="G40" s="1013">
        <f ca="1">tertiair!F20</f>
        <v>181.8893499848829</v>
      </c>
      <c r="H40" s="1013">
        <f>tertiair!G20</f>
        <v>0</v>
      </c>
      <c r="I40" s="1013">
        <f>tertiair!H20</f>
        <v>0</v>
      </c>
      <c r="J40" s="1013">
        <f>tertiair!I20</f>
        <v>0</v>
      </c>
      <c r="K40" s="1013">
        <f>tertiair!J20</f>
        <v>4.2038808916569654E-3</v>
      </c>
      <c r="L40" s="1013">
        <f>tertiair!K20</f>
        <v>0</v>
      </c>
      <c r="M40" s="1013">
        <f ca="1">tertiair!L20</f>
        <v>0</v>
      </c>
      <c r="N40" s="1013">
        <f>tertiair!M20</f>
        <v>0</v>
      </c>
      <c r="O40" s="1013">
        <f ca="1">tertiair!N20</f>
        <v>0</v>
      </c>
      <c r="P40" s="1013">
        <f>tertiair!O20</f>
        <v>0</v>
      </c>
      <c r="Q40" s="774">
        <f>tertiair!P20</f>
        <v>0</v>
      </c>
      <c r="R40" s="850">
        <f t="shared" ca="1" si="4"/>
        <v>1539.7806293763206</v>
      </c>
    </row>
    <row r="41" spans="1:18">
      <c r="A41" s="822" t="s">
        <v>225</v>
      </c>
      <c r="B41" s="829"/>
      <c r="C41" s="1013">
        <f ca="1">huishoudens!B12</f>
        <v>2537.4463050226691</v>
      </c>
      <c r="D41" s="1013">
        <f ca="1">huishoudens!C12</f>
        <v>0</v>
      </c>
      <c r="E41" s="1013">
        <f>huishoudens!D12</f>
        <v>1763.8923537906001</v>
      </c>
      <c r="F41" s="1013">
        <f>huishoudens!E12</f>
        <v>891.86668564777699</v>
      </c>
      <c r="G41" s="1013">
        <f>huishoudens!F12</f>
        <v>8729.3826922778353</v>
      </c>
      <c r="H41" s="1013">
        <f>huishoudens!G12</f>
        <v>0</v>
      </c>
      <c r="I41" s="1013">
        <f>huishoudens!H12</f>
        <v>0</v>
      </c>
      <c r="J41" s="1013">
        <f>huishoudens!I12</f>
        <v>0</v>
      </c>
      <c r="K41" s="1013">
        <f>huishoudens!J12</f>
        <v>750.17756036525032</v>
      </c>
      <c r="L41" s="1013">
        <f>huishoudens!K12</f>
        <v>0</v>
      </c>
      <c r="M41" s="1013">
        <f>huishoudens!L12</f>
        <v>0</v>
      </c>
      <c r="N41" s="1013">
        <f>huishoudens!M12</f>
        <v>0</v>
      </c>
      <c r="O41" s="1013">
        <f>huishoudens!N12</f>
        <v>0</v>
      </c>
      <c r="P41" s="1013">
        <f>huishoudens!O12</f>
        <v>0</v>
      </c>
      <c r="Q41" s="774">
        <f>huishoudens!P12</f>
        <v>0</v>
      </c>
      <c r="R41" s="850">
        <f t="shared" ca="1" si="4"/>
        <v>14672.765597104131</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2345.0107933096165</v>
      </c>
      <c r="D43" s="1013">
        <f ca="1">industrie!C22</f>
        <v>0</v>
      </c>
      <c r="E43" s="1013">
        <f>industrie!D22</f>
        <v>3695.2119085199997</v>
      </c>
      <c r="F43" s="1013">
        <f>industrie!E22</f>
        <v>36.601066485546085</v>
      </c>
      <c r="G43" s="1013">
        <f>industrie!F22</f>
        <v>282.9798965839633</v>
      </c>
      <c r="H43" s="1013">
        <f>industrie!G22</f>
        <v>0</v>
      </c>
      <c r="I43" s="1013">
        <f>industrie!H22</f>
        <v>0</v>
      </c>
      <c r="J43" s="1013">
        <f>industrie!I22</f>
        <v>0</v>
      </c>
      <c r="K43" s="1013">
        <f>industrie!J22</f>
        <v>1.0341375730822203E-2</v>
      </c>
      <c r="L43" s="1013">
        <f>industrie!K22</f>
        <v>0</v>
      </c>
      <c r="M43" s="1013">
        <f>industrie!L22</f>
        <v>0</v>
      </c>
      <c r="N43" s="1013">
        <f>industrie!M22</f>
        <v>0</v>
      </c>
      <c r="O43" s="1013">
        <f>industrie!N22</f>
        <v>0</v>
      </c>
      <c r="P43" s="1013">
        <f>industrie!O22</f>
        <v>0</v>
      </c>
      <c r="Q43" s="774">
        <f>industrie!P22</f>
        <v>0</v>
      </c>
      <c r="R43" s="849">
        <f t="shared" ca="1" si="4"/>
        <v>6359.8140062748562</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5806.0415997201526</v>
      </c>
      <c r="D46" s="732">
        <f t="shared" ref="D46:Q46" ca="1" si="5">SUM(D39:D45)</f>
        <v>0</v>
      </c>
      <c r="E46" s="732">
        <f t="shared" ca="1" si="5"/>
        <v>5880.1470778181993</v>
      </c>
      <c r="F46" s="732">
        <f t="shared" si="5"/>
        <v>941.7275107484021</v>
      </c>
      <c r="G46" s="732">
        <f t="shared" ca="1" si="5"/>
        <v>9194.2519388466826</v>
      </c>
      <c r="H46" s="732">
        <f t="shared" si="5"/>
        <v>0</v>
      </c>
      <c r="I46" s="732">
        <f t="shared" si="5"/>
        <v>0</v>
      </c>
      <c r="J46" s="732">
        <f t="shared" si="5"/>
        <v>0</v>
      </c>
      <c r="K46" s="732">
        <f t="shared" si="5"/>
        <v>750.19210562187277</v>
      </c>
      <c r="L46" s="732">
        <f t="shared" si="5"/>
        <v>0</v>
      </c>
      <c r="M46" s="732">
        <f t="shared" ca="1" si="5"/>
        <v>0</v>
      </c>
      <c r="N46" s="732">
        <f t="shared" si="5"/>
        <v>0</v>
      </c>
      <c r="O46" s="732">
        <f t="shared" ca="1" si="5"/>
        <v>0</v>
      </c>
      <c r="P46" s="732">
        <f t="shared" si="5"/>
        <v>0</v>
      </c>
      <c r="Q46" s="732">
        <f t="shared" si="5"/>
        <v>0</v>
      </c>
      <c r="R46" s="732">
        <f ca="1">SUM(R39:R45)</f>
        <v>22572.360232755309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98.081437880334477</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98.081437880334477</v>
      </c>
    </row>
    <row r="50" spans="1:18">
      <c r="A50" s="825" t="s">
        <v>307</v>
      </c>
      <c r="B50" s="835"/>
      <c r="C50" s="703">
        <f ca="1">transport!B18</f>
        <v>5.3888742648674128</v>
      </c>
      <c r="D50" s="703">
        <f>transport!C18</f>
        <v>0</v>
      </c>
      <c r="E50" s="703">
        <f>transport!D18</f>
        <v>17.03113182500659</v>
      </c>
      <c r="F50" s="703">
        <f>transport!E18</f>
        <v>25.752583948820185</v>
      </c>
      <c r="G50" s="703">
        <f>transport!F18</f>
        <v>0</v>
      </c>
      <c r="H50" s="703">
        <f>transport!G18</f>
        <v>10656.312855810236</v>
      </c>
      <c r="I50" s="703">
        <f>transport!H18</f>
        <v>2374.8932630736581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13079.378708922588</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5.3888742648674128</v>
      </c>
      <c r="D52" s="732">
        <f t="shared" ref="D52:Q52" ca="1" si="6">SUM(D48:D51)</f>
        <v>0</v>
      </c>
      <c r="E52" s="732">
        <f t="shared" si="6"/>
        <v>17.03113182500659</v>
      </c>
      <c r="F52" s="732">
        <f t="shared" si="6"/>
        <v>25.752583948820185</v>
      </c>
      <c r="G52" s="732">
        <f t="shared" si="6"/>
        <v>0</v>
      </c>
      <c r="H52" s="732">
        <f t="shared" si="6"/>
        <v>10754.394293690571</v>
      </c>
      <c r="I52" s="732">
        <f t="shared" si="6"/>
        <v>2374.8932630736581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13177.460146802923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200.42780517083403</v>
      </c>
      <c r="D54" s="703">
        <f ca="1">+landbouw!C12</f>
        <v>0</v>
      </c>
      <c r="E54" s="703">
        <f>+landbouw!D12</f>
        <v>13.186103480000003</v>
      </c>
      <c r="F54" s="703">
        <f>+landbouw!E12</f>
        <v>6.3531843068950575</v>
      </c>
      <c r="G54" s="703">
        <f>+landbouw!F12</f>
        <v>1059.1214732108403</v>
      </c>
      <c r="H54" s="703">
        <f>+landbouw!G12</f>
        <v>0</v>
      </c>
      <c r="I54" s="703">
        <f>+landbouw!H12</f>
        <v>0</v>
      </c>
      <c r="J54" s="703">
        <f>+landbouw!I12</f>
        <v>0</v>
      </c>
      <c r="K54" s="703">
        <f>+landbouw!J12</f>
        <v>48.834658677943487</v>
      </c>
      <c r="L54" s="703">
        <f>+landbouw!K12</f>
        <v>0</v>
      </c>
      <c r="M54" s="703">
        <f>+landbouw!L12</f>
        <v>0</v>
      </c>
      <c r="N54" s="703">
        <f>+landbouw!M12</f>
        <v>0</v>
      </c>
      <c r="O54" s="703">
        <f>+landbouw!N12</f>
        <v>0</v>
      </c>
      <c r="P54" s="703">
        <f>+landbouw!O12</f>
        <v>0</v>
      </c>
      <c r="Q54" s="704">
        <f>+landbouw!P12</f>
        <v>0</v>
      </c>
      <c r="R54" s="731">
        <f ca="1">SUM(C54:Q54)</f>
        <v>1327.923224846513</v>
      </c>
    </row>
    <row r="55" spans="1:18" ht="15" thickBot="1">
      <c r="A55" s="825" t="s">
        <v>836</v>
      </c>
      <c r="B55" s="835"/>
      <c r="C55" s="703">
        <f ca="1">C25*'EF ele_warmte'!B12</f>
        <v>43.489775683757465</v>
      </c>
      <c r="D55" s="703"/>
      <c r="E55" s="703">
        <f>E25*EF_CO2_aardgas</f>
        <v>55.268816000000001</v>
      </c>
      <c r="F55" s="703"/>
      <c r="G55" s="703"/>
      <c r="H55" s="703"/>
      <c r="I55" s="703"/>
      <c r="J55" s="703"/>
      <c r="K55" s="703"/>
      <c r="L55" s="703"/>
      <c r="M55" s="703"/>
      <c r="N55" s="703"/>
      <c r="O55" s="703"/>
      <c r="P55" s="703"/>
      <c r="Q55" s="704"/>
      <c r="R55" s="731">
        <f ca="1">SUM(C55:Q55)</f>
        <v>98.758591683757459</v>
      </c>
    </row>
    <row r="56" spans="1:18" ht="15.75" thickBot="1">
      <c r="A56" s="823" t="s">
        <v>837</v>
      </c>
      <c r="B56" s="836"/>
      <c r="C56" s="732">
        <f ca="1">SUM(C54:C55)</f>
        <v>243.91758085459151</v>
      </c>
      <c r="D56" s="732">
        <f t="shared" ref="D56:Q56" ca="1" si="7">SUM(D54:D55)</f>
        <v>0</v>
      </c>
      <c r="E56" s="732">
        <f t="shared" si="7"/>
        <v>68.454919480000001</v>
      </c>
      <c r="F56" s="732">
        <f t="shared" si="7"/>
        <v>6.3531843068950575</v>
      </c>
      <c r="G56" s="732">
        <f t="shared" si="7"/>
        <v>1059.1214732108403</v>
      </c>
      <c r="H56" s="732">
        <f t="shared" si="7"/>
        <v>0</v>
      </c>
      <c r="I56" s="732">
        <f t="shared" si="7"/>
        <v>0</v>
      </c>
      <c r="J56" s="732">
        <f t="shared" si="7"/>
        <v>0</v>
      </c>
      <c r="K56" s="732">
        <f t="shared" si="7"/>
        <v>48.834658677943487</v>
      </c>
      <c r="L56" s="732">
        <f t="shared" si="7"/>
        <v>0</v>
      </c>
      <c r="M56" s="732">
        <f t="shared" si="7"/>
        <v>0</v>
      </c>
      <c r="N56" s="732">
        <f t="shared" si="7"/>
        <v>0</v>
      </c>
      <c r="O56" s="732">
        <f t="shared" si="7"/>
        <v>0</v>
      </c>
      <c r="P56" s="732">
        <f t="shared" si="7"/>
        <v>0</v>
      </c>
      <c r="Q56" s="733">
        <f t="shared" si="7"/>
        <v>0</v>
      </c>
      <c r="R56" s="734">
        <f ca="1">SUM(R54:R55)</f>
        <v>1426.6818165302705</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6055.3480548396119</v>
      </c>
      <c r="D61" s="740">
        <f t="shared" ref="D61:Q61" ca="1" si="8">D46+D52+D56</f>
        <v>0</v>
      </c>
      <c r="E61" s="740">
        <f t="shared" ca="1" si="8"/>
        <v>5965.6331291232063</v>
      </c>
      <c r="F61" s="740">
        <f t="shared" si="8"/>
        <v>973.83327900411734</v>
      </c>
      <c r="G61" s="740">
        <f t="shared" ca="1" si="8"/>
        <v>10253.373412057523</v>
      </c>
      <c r="H61" s="740">
        <f t="shared" si="8"/>
        <v>10754.394293690571</v>
      </c>
      <c r="I61" s="740">
        <f t="shared" si="8"/>
        <v>2374.8932630736581</v>
      </c>
      <c r="J61" s="740">
        <f t="shared" si="8"/>
        <v>0</v>
      </c>
      <c r="K61" s="740">
        <f t="shared" si="8"/>
        <v>799.02676429981625</v>
      </c>
      <c r="L61" s="740">
        <f t="shared" si="8"/>
        <v>0</v>
      </c>
      <c r="M61" s="740">
        <f t="shared" ca="1" si="8"/>
        <v>0</v>
      </c>
      <c r="N61" s="740">
        <f t="shared" si="8"/>
        <v>0</v>
      </c>
      <c r="O61" s="740">
        <f t="shared" ca="1" si="8"/>
        <v>0</v>
      </c>
      <c r="P61" s="740">
        <f t="shared" si="8"/>
        <v>0</v>
      </c>
      <c r="Q61" s="740">
        <f t="shared" si="8"/>
        <v>0</v>
      </c>
      <c r="R61" s="740">
        <f ca="1">R46+R52+R56</f>
        <v>37176.502196088499</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0.21049272532497301</v>
      </c>
      <c r="D63" s="781">
        <f t="shared" ca="1" si="9"/>
        <v>0</v>
      </c>
      <c r="E63" s="1024">
        <f t="shared" ca="1" si="9"/>
        <v>0.20200000000000001</v>
      </c>
      <c r="F63" s="781">
        <f t="shared" si="9"/>
        <v>0.22700000000000001</v>
      </c>
      <c r="G63" s="781">
        <f t="shared" ca="1" si="9"/>
        <v>0.26700000000000002</v>
      </c>
      <c r="H63" s="781">
        <f t="shared" si="9"/>
        <v>0.26700000000000002</v>
      </c>
      <c r="I63" s="781">
        <f t="shared" si="9"/>
        <v>0.24899999999999997</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1367.7282954014188</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1367.7282954014188</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1367.7282954014188</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1367.7282954014188</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12054.793347870751</v>
      </c>
      <c r="C4" s="477">
        <f>huishoudens!C8</f>
        <v>0</v>
      </c>
      <c r="D4" s="477">
        <f>huishoudens!D8</f>
        <v>8732.1403652999998</v>
      </c>
      <c r="E4" s="477">
        <f>huishoudens!E8</f>
        <v>3928.928130606947</v>
      </c>
      <c r="F4" s="477">
        <f>huishoudens!F8</f>
        <v>32694.317199542449</v>
      </c>
      <c r="G4" s="477">
        <f>huishoudens!G8</f>
        <v>0</v>
      </c>
      <c r="H4" s="477">
        <f>huishoudens!H8</f>
        <v>0</v>
      </c>
      <c r="I4" s="477">
        <f>huishoudens!I8</f>
        <v>0</v>
      </c>
      <c r="J4" s="477">
        <f>huishoudens!J8</f>
        <v>2119.1456507492949</v>
      </c>
      <c r="K4" s="477">
        <f>huishoudens!K8</f>
        <v>0</v>
      </c>
      <c r="L4" s="477">
        <f>huishoudens!L8</f>
        <v>0</v>
      </c>
      <c r="M4" s="477">
        <f>huishoudens!M8</f>
        <v>0</v>
      </c>
      <c r="N4" s="477">
        <f>huishoudens!N8</f>
        <v>9976.5451700735375</v>
      </c>
      <c r="O4" s="477">
        <f>huishoudens!O8</f>
        <v>96.926666666666677</v>
      </c>
      <c r="P4" s="478">
        <f>huishoudens!P8</f>
        <v>457.6</v>
      </c>
      <c r="Q4" s="479">
        <f>SUM(B4:P4)</f>
        <v>70060.396530809652</v>
      </c>
    </row>
    <row r="5" spans="1:17">
      <c r="A5" s="476" t="s">
        <v>156</v>
      </c>
      <c r="B5" s="477">
        <f ca="1">tertiair!B16</f>
        <v>3818.3824639999998</v>
      </c>
      <c r="C5" s="477">
        <f ca="1">tertiair!C16</f>
        <v>0</v>
      </c>
      <c r="D5" s="477">
        <f ca="1">tertiair!D16</f>
        <v>2084.3703737999999</v>
      </c>
      <c r="E5" s="477">
        <f>tertiair!E16</f>
        <v>58.413033546603728</v>
      </c>
      <c r="F5" s="477">
        <f ca="1">tertiair!F16</f>
        <v>681.2335205426325</v>
      </c>
      <c r="G5" s="477">
        <f>tertiair!G16</f>
        <v>0</v>
      </c>
      <c r="H5" s="477">
        <f>tertiair!H16</f>
        <v>0</v>
      </c>
      <c r="I5" s="477">
        <f>tertiair!I16</f>
        <v>0</v>
      </c>
      <c r="J5" s="477">
        <f>tertiair!J16</f>
        <v>1.1875369750443406E-2</v>
      </c>
      <c r="K5" s="477">
        <f>tertiair!K16</f>
        <v>0</v>
      </c>
      <c r="L5" s="477">
        <f ca="1">tertiair!L16</f>
        <v>0</v>
      </c>
      <c r="M5" s="477">
        <f>tertiair!M16</f>
        <v>0</v>
      </c>
      <c r="N5" s="477">
        <f ca="1">tertiair!N16</f>
        <v>473.93174076079288</v>
      </c>
      <c r="O5" s="477">
        <f>tertiair!O16</f>
        <v>1.5633333333333335</v>
      </c>
      <c r="P5" s="478">
        <f>tertiair!P16</f>
        <v>19.066666666666666</v>
      </c>
      <c r="Q5" s="476">
        <f t="shared" ref="Q5:Q14" ca="1" si="0">SUM(B5:P5)</f>
        <v>7136.9730080197796</v>
      </c>
    </row>
    <row r="6" spans="1:17">
      <c r="A6" s="476" t="s">
        <v>194</v>
      </c>
      <c r="B6" s="477">
        <f>'openbare verlichting'!B8</f>
        <v>569.34400000000005</v>
      </c>
      <c r="C6" s="477"/>
      <c r="D6" s="477"/>
      <c r="E6" s="477"/>
      <c r="F6" s="477"/>
      <c r="G6" s="477"/>
      <c r="H6" s="477"/>
      <c r="I6" s="477"/>
      <c r="J6" s="477"/>
      <c r="K6" s="477"/>
      <c r="L6" s="477"/>
      <c r="M6" s="477"/>
      <c r="N6" s="477"/>
      <c r="O6" s="477"/>
      <c r="P6" s="478"/>
      <c r="Q6" s="476">
        <f t="shared" si="0"/>
        <v>569.34400000000005</v>
      </c>
    </row>
    <row r="7" spans="1:17">
      <c r="A7" s="476" t="s">
        <v>112</v>
      </c>
      <c r="B7" s="477">
        <f>landbouw!B8</f>
        <v>952.18399999999997</v>
      </c>
      <c r="C7" s="477">
        <f>landbouw!C8</f>
        <v>0</v>
      </c>
      <c r="D7" s="477">
        <f>landbouw!D8</f>
        <v>65.277740000000009</v>
      </c>
      <c r="E7" s="477">
        <f>landbouw!E8</f>
        <v>27.987596065616991</v>
      </c>
      <c r="F7" s="477">
        <f>landbouw!F8</f>
        <v>3966.7470906773046</v>
      </c>
      <c r="G7" s="477">
        <f>landbouw!G8</f>
        <v>0</v>
      </c>
      <c r="H7" s="477">
        <f>landbouw!H8</f>
        <v>0</v>
      </c>
      <c r="I7" s="477">
        <f>landbouw!I8</f>
        <v>0</v>
      </c>
      <c r="J7" s="477">
        <f>landbouw!J8</f>
        <v>137.95101321452964</v>
      </c>
      <c r="K7" s="477">
        <f>landbouw!K8</f>
        <v>0</v>
      </c>
      <c r="L7" s="477">
        <f>landbouw!L8</f>
        <v>0</v>
      </c>
      <c r="M7" s="477">
        <f>landbouw!M8</f>
        <v>0</v>
      </c>
      <c r="N7" s="477">
        <f>landbouw!N8</f>
        <v>0</v>
      </c>
      <c r="O7" s="477">
        <f>landbouw!O8</f>
        <v>0</v>
      </c>
      <c r="P7" s="478">
        <f>landbouw!P8</f>
        <v>0</v>
      </c>
      <c r="Q7" s="476">
        <f t="shared" si="0"/>
        <v>5150.1474399574508</v>
      </c>
    </row>
    <row r="8" spans="1:17">
      <c r="A8" s="476" t="s">
        <v>635</v>
      </c>
      <c r="B8" s="477">
        <f>industrie!B18</f>
        <v>11140.578799999999</v>
      </c>
      <c r="C8" s="477">
        <f>industrie!C18</f>
        <v>0</v>
      </c>
      <c r="D8" s="477">
        <f>industrie!D18</f>
        <v>18293.128259999998</v>
      </c>
      <c r="E8" s="477">
        <f>industrie!E18</f>
        <v>161.23817835042328</v>
      </c>
      <c r="F8" s="477">
        <f>industrie!F18</f>
        <v>1059.8497999399374</v>
      </c>
      <c r="G8" s="477">
        <f>industrie!G18</f>
        <v>0</v>
      </c>
      <c r="H8" s="477">
        <f>industrie!H18</f>
        <v>0</v>
      </c>
      <c r="I8" s="477">
        <f>industrie!I18</f>
        <v>0</v>
      </c>
      <c r="J8" s="477">
        <f>industrie!J18</f>
        <v>2.9212925793283061E-2</v>
      </c>
      <c r="K8" s="477">
        <f>industrie!K18</f>
        <v>0</v>
      </c>
      <c r="L8" s="477">
        <f>industrie!L18</f>
        <v>0</v>
      </c>
      <c r="M8" s="477">
        <f>industrie!M18</f>
        <v>0</v>
      </c>
      <c r="N8" s="477">
        <f>industrie!N18</f>
        <v>970.64384164203409</v>
      </c>
      <c r="O8" s="477">
        <f>industrie!O18</f>
        <v>0</v>
      </c>
      <c r="P8" s="478">
        <f>industrie!P18</f>
        <v>0</v>
      </c>
      <c r="Q8" s="476">
        <f t="shared" si="0"/>
        <v>31625.468092858187</v>
      </c>
    </row>
    <row r="9" spans="1:17" s="482" customFormat="1">
      <c r="A9" s="480" t="s">
        <v>561</v>
      </c>
      <c r="B9" s="481">
        <f>transport!B14</f>
        <v>25.601237556061395</v>
      </c>
      <c r="C9" s="481">
        <f>transport!C14</f>
        <v>0</v>
      </c>
      <c r="D9" s="481">
        <f>transport!D14</f>
        <v>84.312533787161328</v>
      </c>
      <c r="E9" s="481">
        <f>transport!E14</f>
        <v>113.44750638246776</v>
      </c>
      <c r="F9" s="481">
        <f>transport!F14</f>
        <v>0</v>
      </c>
      <c r="G9" s="481">
        <f>transport!G14</f>
        <v>39911.284104158185</v>
      </c>
      <c r="H9" s="481">
        <f>transport!H14</f>
        <v>9537.7239480869812</v>
      </c>
      <c r="I9" s="481">
        <f>transport!I14</f>
        <v>0</v>
      </c>
      <c r="J9" s="481">
        <f>transport!J14</f>
        <v>0</v>
      </c>
      <c r="K9" s="481">
        <f>transport!K14</f>
        <v>0</v>
      </c>
      <c r="L9" s="481">
        <f>transport!L14</f>
        <v>0</v>
      </c>
      <c r="M9" s="481">
        <f>transport!M14</f>
        <v>2613.1904913000512</v>
      </c>
      <c r="N9" s="481">
        <f>transport!N14</f>
        <v>0</v>
      </c>
      <c r="O9" s="481">
        <f>transport!O14</f>
        <v>0</v>
      </c>
      <c r="P9" s="481">
        <f>transport!P14</f>
        <v>0</v>
      </c>
      <c r="Q9" s="480">
        <f>SUM(B9:P9)</f>
        <v>52285.559821270916</v>
      </c>
    </row>
    <row r="10" spans="1:17">
      <c r="A10" s="476" t="s">
        <v>551</v>
      </c>
      <c r="B10" s="477">
        <f>transport!B54</f>
        <v>0</v>
      </c>
      <c r="C10" s="477">
        <f>transport!C54</f>
        <v>0</v>
      </c>
      <c r="D10" s="477">
        <f>transport!D54</f>
        <v>0</v>
      </c>
      <c r="E10" s="477">
        <f>transport!E54</f>
        <v>0</v>
      </c>
      <c r="F10" s="477">
        <f>transport!F54</f>
        <v>0</v>
      </c>
      <c r="G10" s="477">
        <f>transport!G54</f>
        <v>367.34620928964222</v>
      </c>
      <c r="H10" s="477">
        <f>transport!H54</f>
        <v>0</v>
      </c>
      <c r="I10" s="477">
        <f>transport!I54</f>
        <v>0</v>
      </c>
      <c r="J10" s="477">
        <f>transport!J54</f>
        <v>0</v>
      </c>
      <c r="K10" s="477">
        <f>transport!K54</f>
        <v>0</v>
      </c>
      <c r="L10" s="477">
        <f>transport!L54</f>
        <v>0</v>
      </c>
      <c r="M10" s="477">
        <f>transport!M54</f>
        <v>20.86364300975119</v>
      </c>
      <c r="N10" s="477">
        <f>transport!N54</f>
        <v>0</v>
      </c>
      <c r="O10" s="477">
        <f>transport!O54</f>
        <v>0</v>
      </c>
      <c r="P10" s="478">
        <f>transport!P54</f>
        <v>0</v>
      </c>
      <c r="Q10" s="476">
        <f t="shared" si="0"/>
        <v>388.20985229939339</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206.60939999999999</v>
      </c>
      <c r="C14" s="484"/>
      <c r="D14" s="484">
        <f>'SEAP template'!E25</f>
        <v>273.608</v>
      </c>
      <c r="E14" s="484"/>
      <c r="F14" s="484"/>
      <c r="G14" s="484"/>
      <c r="H14" s="484"/>
      <c r="I14" s="484"/>
      <c r="J14" s="484"/>
      <c r="K14" s="484"/>
      <c r="L14" s="484"/>
      <c r="M14" s="484"/>
      <c r="N14" s="484"/>
      <c r="O14" s="484"/>
      <c r="P14" s="485"/>
      <c r="Q14" s="476">
        <f t="shared" si="0"/>
        <v>480.2174</v>
      </c>
    </row>
    <row r="15" spans="1:17" s="486" customFormat="1">
      <c r="A15" s="1039" t="s">
        <v>555</v>
      </c>
      <c r="B15" s="987">
        <f ca="1">SUM(B4:B14)</f>
        <v>28767.493249426814</v>
      </c>
      <c r="C15" s="987">
        <f t="shared" ref="C15:Q15" ca="1" si="1">SUM(C4:C14)</f>
        <v>0</v>
      </c>
      <c r="D15" s="987">
        <f t="shared" ca="1" si="1"/>
        <v>29532.837272887158</v>
      </c>
      <c r="E15" s="987">
        <f t="shared" si="1"/>
        <v>4290.0144449520585</v>
      </c>
      <c r="F15" s="987">
        <f t="shared" ca="1" si="1"/>
        <v>38402.147610702326</v>
      </c>
      <c r="G15" s="987">
        <f t="shared" si="1"/>
        <v>40278.630313447829</v>
      </c>
      <c r="H15" s="987">
        <f t="shared" si="1"/>
        <v>9537.7239480869812</v>
      </c>
      <c r="I15" s="987">
        <f t="shared" si="1"/>
        <v>0</v>
      </c>
      <c r="J15" s="987">
        <f t="shared" si="1"/>
        <v>2257.1377522593684</v>
      </c>
      <c r="K15" s="987">
        <f t="shared" si="1"/>
        <v>0</v>
      </c>
      <c r="L15" s="987">
        <f t="shared" ca="1" si="1"/>
        <v>0</v>
      </c>
      <c r="M15" s="987">
        <f t="shared" si="1"/>
        <v>2634.0541343098025</v>
      </c>
      <c r="N15" s="987">
        <f t="shared" ca="1" si="1"/>
        <v>11421.120752476363</v>
      </c>
      <c r="O15" s="987">
        <f t="shared" si="1"/>
        <v>98.490000000000009</v>
      </c>
      <c r="P15" s="987">
        <f t="shared" si="1"/>
        <v>476.66666666666669</v>
      </c>
      <c r="Q15" s="987">
        <f t="shared" ca="1" si="1"/>
        <v>167696.31614521536</v>
      </c>
    </row>
    <row r="17" spans="1:17">
      <c r="A17" s="487" t="s">
        <v>556</v>
      </c>
      <c r="B17" s="786">
        <f ca="1">huishoudens!B10</f>
        <v>0.21049272532497296</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2537.4463050226691</v>
      </c>
      <c r="C22" s="477">
        <f t="shared" ref="C22:C32" ca="1" si="3">C4*$C$17</f>
        <v>0</v>
      </c>
      <c r="D22" s="477">
        <f t="shared" ref="D22:D32" si="4">D4*$D$17</f>
        <v>1763.8923537906001</v>
      </c>
      <c r="E22" s="477">
        <f t="shared" ref="E22:E32" si="5">E4*$E$17</f>
        <v>891.86668564777699</v>
      </c>
      <c r="F22" s="477">
        <f t="shared" ref="F22:F32" si="6">F4*$F$17</f>
        <v>8729.3826922778353</v>
      </c>
      <c r="G22" s="477">
        <f t="shared" ref="G22:G32" si="7">G4*$G$17</f>
        <v>0</v>
      </c>
      <c r="H22" s="477">
        <f t="shared" ref="H22:H32" si="8">H4*$H$17</f>
        <v>0</v>
      </c>
      <c r="I22" s="477">
        <f t="shared" ref="I22:I32" si="9">I4*$I$17</f>
        <v>0</v>
      </c>
      <c r="J22" s="477">
        <f t="shared" ref="J22:J32" si="10">J4*$J$17</f>
        <v>750.17756036525032</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14672.765597104131</v>
      </c>
    </row>
    <row r="23" spans="1:17">
      <c r="A23" s="476" t="s">
        <v>156</v>
      </c>
      <c r="B23" s="477">
        <f t="shared" ca="1" si="2"/>
        <v>803.74173118044541</v>
      </c>
      <c r="C23" s="477">
        <f t="shared" ca="1" si="3"/>
        <v>0</v>
      </c>
      <c r="D23" s="477">
        <f t="shared" ca="1" si="4"/>
        <v>421.04281550760004</v>
      </c>
      <c r="E23" s="477">
        <f t="shared" si="5"/>
        <v>13.259758615079047</v>
      </c>
      <c r="F23" s="477">
        <f t="shared" ca="1" si="6"/>
        <v>181.8893499848829</v>
      </c>
      <c r="G23" s="477">
        <f t="shared" si="7"/>
        <v>0</v>
      </c>
      <c r="H23" s="477">
        <f t="shared" si="8"/>
        <v>0</v>
      </c>
      <c r="I23" s="477">
        <f t="shared" si="9"/>
        <v>0</v>
      </c>
      <c r="J23" s="477">
        <f t="shared" si="10"/>
        <v>4.2038808916569654E-3</v>
      </c>
      <c r="K23" s="477">
        <f t="shared" si="11"/>
        <v>0</v>
      </c>
      <c r="L23" s="477">
        <f t="shared" ca="1" si="12"/>
        <v>0</v>
      </c>
      <c r="M23" s="477">
        <f t="shared" si="13"/>
        <v>0</v>
      </c>
      <c r="N23" s="477">
        <f t="shared" ca="1" si="14"/>
        <v>0</v>
      </c>
      <c r="O23" s="477">
        <f t="shared" si="15"/>
        <v>0</v>
      </c>
      <c r="P23" s="478">
        <f t="shared" si="16"/>
        <v>0</v>
      </c>
      <c r="Q23" s="476">
        <f t="shared" ref="Q23:Q32" ca="1" si="17">SUM(B23:P23)</f>
        <v>1419.9378591688992</v>
      </c>
    </row>
    <row r="24" spans="1:17">
      <c r="A24" s="476" t="s">
        <v>194</v>
      </c>
      <c r="B24" s="477">
        <f t="shared" ca="1" si="2"/>
        <v>119.84277020742141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119.84277020742141</v>
      </c>
    </row>
    <row r="25" spans="1:17">
      <c r="A25" s="476" t="s">
        <v>112</v>
      </c>
      <c r="B25" s="477">
        <f t="shared" ca="1" si="2"/>
        <v>200.42780517083403</v>
      </c>
      <c r="C25" s="477">
        <f t="shared" ca="1" si="3"/>
        <v>0</v>
      </c>
      <c r="D25" s="477">
        <f t="shared" si="4"/>
        <v>13.186103480000003</v>
      </c>
      <c r="E25" s="477">
        <f t="shared" si="5"/>
        <v>6.3531843068950575</v>
      </c>
      <c r="F25" s="477">
        <f t="shared" si="6"/>
        <v>1059.1214732108403</v>
      </c>
      <c r="G25" s="477">
        <f t="shared" si="7"/>
        <v>0</v>
      </c>
      <c r="H25" s="477">
        <f t="shared" si="8"/>
        <v>0</v>
      </c>
      <c r="I25" s="477">
        <f t="shared" si="9"/>
        <v>0</v>
      </c>
      <c r="J25" s="477">
        <f t="shared" si="10"/>
        <v>48.834658677943487</v>
      </c>
      <c r="K25" s="477">
        <f t="shared" si="11"/>
        <v>0</v>
      </c>
      <c r="L25" s="477">
        <f t="shared" si="12"/>
        <v>0</v>
      </c>
      <c r="M25" s="477">
        <f t="shared" si="13"/>
        <v>0</v>
      </c>
      <c r="N25" s="477">
        <f t="shared" si="14"/>
        <v>0</v>
      </c>
      <c r="O25" s="477">
        <f t="shared" si="15"/>
        <v>0</v>
      </c>
      <c r="P25" s="478">
        <f t="shared" si="16"/>
        <v>0</v>
      </c>
      <c r="Q25" s="476">
        <f t="shared" ca="1" si="17"/>
        <v>1327.923224846513</v>
      </c>
    </row>
    <row r="26" spans="1:17">
      <c r="A26" s="476" t="s">
        <v>635</v>
      </c>
      <c r="B26" s="477">
        <f t="shared" ca="1" si="2"/>
        <v>2345.0107933096165</v>
      </c>
      <c r="C26" s="477">
        <f t="shared" ca="1" si="3"/>
        <v>0</v>
      </c>
      <c r="D26" s="477">
        <f t="shared" si="4"/>
        <v>3695.2119085199997</v>
      </c>
      <c r="E26" s="477">
        <f t="shared" si="5"/>
        <v>36.601066485546085</v>
      </c>
      <c r="F26" s="477">
        <f t="shared" si="6"/>
        <v>282.9798965839633</v>
      </c>
      <c r="G26" s="477">
        <f t="shared" si="7"/>
        <v>0</v>
      </c>
      <c r="H26" s="477">
        <f t="shared" si="8"/>
        <v>0</v>
      </c>
      <c r="I26" s="477">
        <f t="shared" si="9"/>
        <v>0</v>
      </c>
      <c r="J26" s="477">
        <f t="shared" si="10"/>
        <v>1.0341375730822203E-2</v>
      </c>
      <c r="K26" s="477">
        <f t="shared" si="11"/>
        <v>0</v>
      </c>
      <c r="L26" s="477">
        <f t="shared" si="12"/>
        <v>0</v>
      </c>
      <c r="M26" s="477">
        <f t="shared" si="13"/>
        <v>0</v>
      </c>
      <c r="N26" s="477">
        <f t="shared" si="14"/>
        <v>0</v>
      </c>
      <c r="O26" s="477">
        <f t="shared" si="15"/>
        <v>0</v>
      </c>
      <c r="P26" s="478">
        <f t="shared" si="16"/>
        <v>0</v>
      </c>
      <c r="Q26" s="476">
        <f t="shared" ca="1" si="17"/>
        <v>6359.8140062748562</v>
      </c>
    </row>
    <row r="27" spans="1:17" s="482" customFormat="1">
      <c r="A27" s="480" t="s">
        <v>561</v>
      </c>
      <c r="B27" s="780">
        <f t="shared" ca="1" si="2"/>
        <v>5.3888742648674128</v>
      </c>
      <c r="C27" s="481">
        <f t="shared" ca="1" si="3"/>
        <v>0</v>
      </c>
      <c r="D27" s="481">
        <f t="shared" si="4"/>
        <v>17.03113182500659</v>
      </c>
      <c r="E27" s="481">
        <f t="shared" si="5"/>
        <v>25.752583948820185</v>
      </c>
      <c r="F27" s="481">
        <f t="shared" si="6"/>
        <v>0</v>
      </c>
      <c r="G27" s="481">
        <f t="shared" si="7"/>
        <v>10656.312855810236</v>
      </c>
      <c r="H27" s="481">
        <f t="shared" si="8"/>
        <v>2374.8932630736581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13079.378708922588</v>
      </c>
    </row>
    <row r="28" spans="1:17">
      <c r="A28" s="476" t="s">
        <v>551</v>
      </c>
      <c r="B28" s="477">
        <f t="shared" ca="1" si="2"/>
        <v>0</v>
      </c>
      <c r="C28" s="477">
        <f t="shared" ca="1" si="3"/>
        <v>0</v>
      </c>
      <c r="D28" s="477">
        <f t="shared" si="4"/>
        <v>0</v>
      </c>
      <c r="E28" s="477">
        <f t="shared" si="5"/>
        <v>0</v>
      </c>
      <c r="F28" s="477">
        <f t="shared" si="6"/>
        <v>0</v>
      </c>
      <c r="G28" s="477">
        <f t="shared" si="7"/>
        <v>98.081437880334477</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98.081437880334477</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43.489775683757465</v>
      </c>
      <c r="C32" s="477">
        <f t="shared" ca="1" si="3"/>
        <v>0</v>
      </c>
      <c r="D32" s="477">
        <f t="shared" si="4"/>
        <v>55.268816000000001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98.758591683757459</v>
      </c>
    </row>
    <row r="33" spans="1:17" s="486" customFormat="1">
      <c r="A33" s="1039" t="s">
        <v>555</v>
      </c>
      <c r="B33" s="987">
        <f ca="1">SUM(B22:B32)</f>
        <v>6055.348054839611</v>
      </c>
      <c r="C33" s="987">
        <f t="shared" ref="C33:Q33" ca="1" si="18">SUM(C22:C32)</f>
        <v>0</v>
      </c>
      <c r="D33" s="987">
        <f t="shared" ca="1" si="18"/>
        <v>5965.6331291232063</v>
      </c>
      <c r="E33" s="987">
        <f t="shared" si="18"/>
        <v>973.83327900411734</v>
      </c>
      <c r="F33" s="987">
        <f t="shared" ca="1" si="18"/>
        <v>10253.373412057523</v>
      </c>
      <c r="G33" s="987">
        <f t="shared" si="18"/>
        <v>10754.394293690571</v>
      </c>
      <c r="H33" s="987">
        <f t="shared" si="18"/>
        <v>2374.8932630736581</v>
      </c>
      <c r="I33" s="987">
        <f t="shared" si="18"/>
        <v>0</v>
      </c>
      <c r="J33" s="987">
        <f t="shared" si="18"/>
        <v>799.02676429981625</v>
      </c>
      <c r="K33" s="987">
        <f t="shared" si="18"/>
        <v>0</v>
      </c>
      <c r="L33" s="987">
        <f t="shared" ca="1" si="18"/>
        <v>0</v>
      </c>
      <c r="M33" s="987">
        <f t="shared" si="18"/>
        <v>0</v>
      </c>
      <c r="N33" s="987">
        <f t="shared" ca="1" si="18"/>
        <v>0</v>
      </c>
      <c r="O33" s="987">
        <f t="shared" si="18"/>
        <v>0</v>
      </c>
      <c r="P33" s="987">
        <f t="shared" si="18"/>
        <v>0</v>
      </c>
      <c r="Q33" s="987">
        <f t="shared" ca="1" si="18"/>
        <v>37176.502196088499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1367.7282954014188</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1367.7282954014188</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0.21049272532497296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0.21049272532497296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2019-08-12T08:32:12Z</dcterms:modified>
</cp:coreProperties>
</file>