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<sst xmlns="http://schemas.openxmlformats.org/spreadsheetml/2006/main" count="2383" uniqueCount="881">
  <si>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</si>
  <si>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</si>
  <si>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</si>
  <si>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</si>
  <si>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</si>
  <si>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</si>
  <si>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</si>
  <si>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</si>
  <si>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</si>
  <si>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</si>
  <si>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</si>
  <si>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</si>
  <si>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</si>
  <si>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</si>
  <si>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</si>
  <si>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</si>
  <si>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</si>
  <si>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</si>
  <si>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</si>
  <si>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</si>
  <si>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</si>
  <si>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</si>
  <si>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</si>
  <si>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</si>
  <si>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</si>
  <si>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</si>
  <si>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</si>
  <si>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</si>
  <si>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</si>
  <si>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</si>
  <si>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</si>
  <si>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</si>
  <si>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</si>
  <si>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</si>
  <si>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</si>
  <si>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</si>
  <si>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</si>
  <si>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</si>
  <si>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</si>
  <si>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</si>
  <si>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</si>
  <si>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</si>
  <si>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</si>
  <si>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</si>
  <si>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</si>
  <si>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</si>
  <si>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</si>
  <si>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</si>
  <si>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</si>
  <si>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</si>
  <si>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</si>
  <si>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</si>
  <si>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</si>
  <si>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</si>
  <si>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</si>
  <si>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</si>
  <si>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</si>
  <si>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</si>
  <si>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</si>
  <si>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</si>
  <si>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</si>
  <si>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</si>
  <si>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</si>
  <si>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</si>
  <si>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</si>
  <si>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</si>
  <si>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</si>
  <si>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</si>
  <si>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</si>
  <si>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</si>
  <si>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</si>
  <si>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</si>
  <si>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</si>
  <si>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</si>
  <si>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</si>
  <si>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</si>
  <si>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</si>
  <si>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</si>
  <si>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</si>
  <si>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</si>
  <si>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</si>
  <si>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</si>
  <si>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</si>
  <si>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</si>
  <si>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</si>
  <si>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</si>
  <si>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</si>
  <si>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</si>
  <si>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</si>
  <si>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</si>
  <si>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</si>
  <si>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</si>
  <si>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</si>
  <si>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</si>
  <si>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</si>
  <si>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</si>
  <si>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</si>
  <si>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</si>
  <si>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</si>
  <si>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</si>
  <si>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</si>
  <si>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</si>
  <si>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</si>
  <si>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</si>
  <si>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</si>
  <si>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</si>
  <si>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</si>
  <si>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</si>
  <si>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</si>
  <si>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</si>
  <si>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</si>
  <si>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</si>
  <si>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</si>
  <si>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</si>
  <si>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</si>
  <si>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</si>
  <si>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</si>
  <si>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</si>
  <si>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</si>
  <si>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</si>
  <si>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</si>
  <si>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</si>
  <si>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</si>
  <si>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</si>
  <si>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</si>
  <si>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</si>
  <si>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</si>
  <si>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</si>
  <si>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</si>
  <si>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</si>
  <si>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</si>
  <si>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</si>
  <si>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</si>
  <si>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</si>
  <si>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</si>
  <si>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</si>
  <si>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</si>
  <si>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</si>
  <si>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</si>
  <si>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</si>
  <si>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</si>
  <si>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</si>
  <si>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</si>
  <si>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</si>
  <si>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</si>
  <si>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</si>
  <si>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</si>
  <si>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</si>
  <si>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</si>
  <si>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</si>
  <si>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</si>
  <si>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</si>
  <si>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</si>
  <si>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</si>
  <si>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</si>
  <si>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</si>
  <si>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</si>
  <si>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</si>
  <si>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</si>
  <si>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</si>
  <si>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</si>
  <si>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</si>
  <si>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</si>
  <si>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</si>
  <si>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</si>
  <si>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</si>
  <si>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</si>
  <si>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</si>
  <si>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</si>
  <si>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</si>
  <si>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</si>
  <si>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</si>
  <si>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</si>
  <si>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</si>
  <si>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</si>
  <si>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</si>
  <si>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</si>
  <si>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</si>
  <si>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</si>
  <si>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</si>
  <si>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</si>
  <si>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</si>
  <si>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</si>
  <si>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</si>
  <si>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</si>
  <si>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</si>
  <si>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</si>
  <si>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</si>
  <si>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</si>
  <si>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</si>
  <si>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</si>
  <si>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</si>
  <si>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</si>
  <si>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</si>
  <si>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</si>
  <si>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</si>
  <si>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</si>
  <si>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</si>
  <si>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</si>
  <si>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</si>
  <si>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</si>
  <si>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</si>
  <si>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</si>
  <si>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</si>
  <si>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</si>
  <si>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</si>
  <si>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</si>
  <si>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</si>
  <si>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</si>
  <si>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</si>
  <si>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</si>
  <si>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</si>
  <si>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</si>
  <si>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</si>
  <si>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</si>
  <si>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</si>
  <si>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</si>
  <si>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</si>
  <si>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</si>
  <si>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</si>
  <si>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</si>
  <si>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</si>
  <si>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</si>
  <si>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</si>
  <si>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</si>
  <si>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</si>
  <si>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</si>
  <si>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</si>
  <si>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</si>
  <si>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</si>
  <si>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</si>
  <si>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</si>
  <si>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</si>
  <si>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</si>
  <si>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</si>
  <si>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</si>
  <si>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</si>
  <si>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</si>
  <si>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</si>
  <si>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</si>
  <si>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</si>
  <si>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</si>
  <si>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</si>
  <si>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</si>
  <si>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</si>
  <si>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</si>
  <si>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</si>
  <si>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</si>
  <si>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</si>
  <si>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</si>
  <si>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</si>
  <si>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</si>
  <si>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</si>
  <si>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</si>
  <si>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</si>
  <si>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</si>
  <si>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</si>
  <si>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</si>
  <si>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</si>
  <si>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</si>
  <si>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</si>
  <si>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</si>
  <si>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</si>
  <si>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</si>
  <si>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</si>
  <si>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</si>
  <si>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</si>
  <si>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</si>
  <si>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</si>
  <si>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</si>
  <si>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</si>
  <si>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</si>
  <si>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</si>
  <si>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</si>
  <si>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</si>
  <si>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</si>
  <si>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</si>
  <si>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</si>
  <si>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</si>
  <si>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</si>
  <si>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</si>
  <si>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</si>
  <si>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</si>
  <si>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</si>
  <si>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</si>
  <si>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</si>
  <si>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</si>
  <si>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</si>
  <si>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</si>
  <si>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</si>
  <si>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</si>
  <si>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</si>
  <si>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</si>
  <si>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</si>
  <si>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</si>
  <si>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</si>
  <si>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</si>
  <si>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</si>
  <si>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</si>
  <si>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</si>
  <si>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</si>
  <si>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</si>
  <si>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</si>
  <si>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</si>
  <si>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</si>
  <si>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</si>
  <si>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</si>
  <si>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</si>
  <si>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</si>
  <si>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</si>
  <si>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</si>
  <si>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</si>
  <si>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</si>
  <si>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</si>
  <si>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</si>
  <si>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</si>
  <si>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</si>
  <si>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</si>
  <si>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</si>
  <si>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</si>
  <si>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</si>
  <si>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</si>
  <si>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</si>
  <si>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</si>
  <si>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</si>
  <si>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</si>
  <si>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</si>
  <si>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</si>
  <si>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</si>
  <si>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</si>
  <si>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</si>
  <si>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</si>
  <si>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</si>
  <si>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</si>
  <si>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</si>
  <si>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</si>
  <si>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</si>
  <si>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</si>
  <si>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</si>
  <si>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</si>
  <si>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</si>
  <si>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</si>
  <si>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</si>
  <si>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</si>
  <si>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</si>
  <si>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</si>
  <si>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</si>
  <si>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</si>
  <si>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</si>
  <si>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</si>
  <si>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</si>
  <si>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</si>
  <si>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</si>
  <si>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</si>
  <si>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</si>
  <si>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</si>
  <si>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</si>
  <si>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</si>
  <si>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</si>
  <si>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</si>
  <si>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</si>
  <si>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</si>
  <si>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</si>
  <si>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</si>
  <si>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</si>
  <si>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</si>
  <si>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</si>
  <si>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</si>
  <si>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</si>
  <si>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</si>
  <si>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</si>
  <si>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</si>
  <si>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</si>
  <si>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</si>
  <si>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</si>
  <si>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</si>
  <si>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</si>
  <si>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</si>
  <si>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</si>
  <si>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</si>
  <si>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</si>
  <si>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</si>
  <si>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</si>
  <si>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</si>
  <si>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</si>
  <si>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</si>
  <si>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</si>
  <si>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</si>
  <si>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</si>
  <si>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</si>
  <si>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</si>
  <si>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</si>
  <si>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</si>
  <si>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</si>
  <si>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</si>
  <si>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</si>
  <si>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</si>
  <si>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</si>
  <si>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</si>
  <si>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</si>
  <si>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</si>
  <si>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</si>
  <si>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</si>
  <si>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</si>
  <si>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</si>
  <si>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</si>
  <si>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</si>
  <si>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</si>
  <si>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</si>
  <si>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</si>
  <si>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</si>
  <si>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</si>
  <si>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</si>
  <si>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</si>
  <si>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</si>
  <si>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</si>
  <si>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</si>
  <si>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</si>
  <si>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</si>
  <si>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</si>
  <si>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</si>
  <si>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</si>
  <si>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</si>
  <si>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</si>
  <si>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</si>
  <si>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</si>
  <si>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</si>
  <si>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</si>
  <si>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</si>
  <si>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</si>
  <si>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</si>
  <si>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</si>
  <si>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</si>
  <si>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</si>
  <si>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</si>
  <si>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</si>
  <si>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</si>
  <si>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</si>
  <si>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</si>
  <si>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</si>
  <si>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</si>
  <si>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</si>
  <si>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</si>
  <si>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</si>
  <si>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</si>
  <si>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</si>
  <si>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</si>
  <si>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</si>
  <si>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</si>
  <si>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</si>
  <si>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</si>
  <si>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</si>
  <si>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</si>
  <si>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</si>
  <si>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</si>
  <si>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</si>
  <si>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</si>
  <si>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</si>
  <si>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</si>
  <si>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</si>
  <si>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</si>
  <si>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</si>
  <si>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</si>
  <si>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</si>
  <si>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</si>
  <si>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</si>
  <si>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</si>
  <si>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</si>
  <si>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</si>
  <si>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</si>
  <si>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</si>
  <si>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</si>
  <si>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</si>
  <si>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</si>
  <si>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</si>
  <si>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</si>
  <si>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</si>
  <si>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</si>
  <si>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</si>
  <si>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</si>
  <si>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</si>
  <si>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</si>
  <si>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</si>
  <si>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</si>
  <si>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</si>
  <si>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</si>
  <si>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</si>
  <si>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</si>
  <si>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</si>
  <si>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</si>
  <si>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</si>
  <si>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</si>
  <si>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</si>
  <si>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</si>
  <si>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</si>
  <si>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</si>
  <si>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</si>
  <si>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</si>
  <si>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</si>
  <si>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</si>
  <si>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</si>
  <si>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</si>
  <si>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</si>
  <si>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</si>
  <si>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</si>
  <si>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</si>
  <si>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</si>
  <si>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</si>
  <si>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</si>
  <si>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</si>
  <si>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</si>
  <si>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</si>
  <si>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</si>
  <si>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</si>
  <si>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</si>
  <si>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</si>
  <si>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</si>
  <si>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</si>
  <si>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</si>
  <si>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</si>
  <si>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</si>
  <si>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</si>
  <si>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</si>
  <si>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</si>
  <si>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</si>
  <si>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</si>
  <si>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</si>
  <si>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</si>
  <si>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</si>
  <si>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</si>
  <si>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</si>
  <si>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</si>
  <si>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</si>
  <si>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</si>
  <si>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</si>
  <si>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</si>
  <si>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</si>
  <si>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</si>
  <si>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</si>
  <si>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</si>
  <si>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</si>
  <si>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</si>
  <si>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</si>
  <si>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</si>
  <si>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</si>
  <si>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</si>
  <si>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</si>
  <si>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</si>
  <si>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</si>
  <si>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</si>
  <si>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</si>
  <si>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</si>
  <si>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</si>
  <si>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</si>
  <si>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</si>
  <si>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</si>
  <si>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</si>
  <si>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</si>
  <si>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</si>
  <si>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</si>
  <si>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</si>
  <si>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</si>
  <si>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</si>
  <si>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</si>
  <si>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</si>
  <si>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</si>
  <si>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</si>
  <si>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</si>
  <si>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</si>
  <si>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</si>
  <si>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</si>
  <si>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</si>
  <si>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</si>
  <si>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</si>
  <si>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</si>
  <si>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</si>
  <si>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</si>
  <si>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</si>
  <si>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</si>
  <si>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</si>
  <si>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</si>
  <si>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</si>
  <si>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</si>
  <si>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</si>
  <si>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</si>
  <si>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</si>
  <si>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</si>
  <si>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</si>
  <si>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</si>
  <si>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</si>
  <si>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</si>
  <si>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</si>
  <si>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</si>
  <si>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</si>
  <si>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</si>
  <si>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</si>
  <si>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</si>
  <si>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</si>
  <si>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</si>
  <si>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</si>
  <si>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</si>
  <si>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</si>
  <si>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</si>
  <si>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</si>
  <si>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</si>
  <si>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</si>
  <si>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</si>
  <si>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</si>
  <si>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</si>
  <si>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</si>
  <si>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</si>
  <si>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</si>
  <si>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</si>
  <si>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</si>
  <si>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</si>
  <si>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</si>
  <si>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</si>
  <si>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</si>
  <si>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</si>
  <si>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</si>
  <si>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</si>
  <si>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</si>
  <si>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</si>
  <si>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</si>
  <si>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</si>
  <si>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</si>
  <si>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</si>
  <si>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</si>
  <si>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</si>
  <si>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</si>
  <si>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</si>
  <si>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</si>
  <si>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</si>
  <si>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</si>
  <si>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</si>
  <si>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</si>
  <si>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</si>
  <si>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</si>
  <si>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</si>
  <si>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</si>
  <si>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</si>
  <si>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</si>
  <si>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</si>
  <si>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</si>
  <si>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</si>
  <si>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</si>
  <si>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</si>
  <si>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</si>
  <si>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</si>
  <si>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</si>
  <si>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</si>
  <si>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</si>
  <si>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</si>
  <si>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</si>
  <si>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</si>
  <si>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</si>
  <si>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</si>
  <si>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</si>
  <si>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</si>
  <si>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</si>
  <si>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</si>
  <si>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</si>
  <si>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</si>
  <si>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</si>
  <si>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</si>
  <si>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</si>
  <si>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</si>
  <si>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</si>
  <si>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</si>
  <si>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</si>
  <si>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</si>
  <si>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</si>
  <si>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</si>
  <si>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</si>
  <si>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</si>
  <si>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</si>
  <si>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</si>
  <si>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</si>
  <si>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</si>
  <si>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</si>
  <si>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</si>
  <si>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</si>
  <si>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</si>
  <si>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</si>
  <si>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</si>
  <si>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</si>
  <si>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</si>
  <si>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</si>
  <si>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</si>
  <si>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</si>
  <si>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</si>
  <si>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</si>
  <si>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</si>
  <si>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</si>
  <si>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</si>
  <si>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</si>
  <si>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</si>
  <si>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</si>
  <si>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</si>
  <si>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</si>
  <si>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</si>
  <si>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</si>
  <si>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</si>
  <si>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</si>
  <si>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</si>
  <si>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</si>
  <si>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</si>
  <si>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</si>
  <si>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</si>
  <si>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</si>
  <si>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</si>
  <si>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</si>
  <si>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</si>
  <si>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</si>
  <si>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</si>
  <si>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</si>
  <si>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</si>
  <si>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</si>
  <si>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</si>
  <si>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</si>
  <si>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</si>
  <si>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</si>
  <si>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</si>
  <si>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</si>
  <si>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</si>
  <si>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</si>
  <si>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</si>
  <si>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</si>
  <si>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</si>
  <si>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</si>
  <si>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</si>
  <si>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</si>
  <si>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</si>
  <si>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</si>
  <si>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</si>
  <si>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</si>
  <si>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</si>
  <si>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</si>
  <si>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</si>
  <si>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</si>
  <si>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</si>
  <si>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</si>
  <si>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</si>
  <si>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</si>
  <si>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</si>
  <si>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</si>
  <si>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</si>
  <si>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</si>
  <si>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</si>
  <si>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</si>
  <si>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</si>
  <si>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</si>
  <si>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</si>
  <si>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</si>
  <si>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</si>
  <si>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</si>
  <si>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</si>
  <si>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</si>
  <si>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</si>
  <si>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</si>
  <si>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</si>
  <si>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</si>
  <si>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</si>
  <si>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</si>
  <si>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</si>
  <si>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</si>
  <si>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</si>
  <si>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</si>
  <si>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</si>
  <si>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</si>
  <si>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</si>
  <si>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</si>
  <si>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</si>
  <si>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</si>
  <si>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</si>
  <si>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</si>
  <si>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</si>
  <si>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</si>
  <si>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</si>
  <si>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</si>
  <si>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</si>
  <si>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</si>
  <si>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</si>
  <si>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</si>
  <si>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</si>
  <si>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</si>
  <si>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</si>
  <si>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</si>
  <si>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</si>
  <si>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</si>
  <si>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</si>
  <si>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</si>
  <si>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</si>
  <si>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</si>
  <si>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</si>
  <si>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</si>
  <si>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</si>
  <si>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</si>
  <si>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</si>
  <si>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</si>
  <si>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</si>
  <si>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</si>
  <si>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</si>
  <si>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</si>
  <si>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</si>
  <si>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</si>
  <si>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</si>
  <si>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</si>
  <si>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</si>
  <si>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</si>
  <si>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</si>
  <si>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</si>
  <si>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</si>
  <si>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</si>
  <si>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</si>
  <si>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</si>
  <si>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</si>
  <si>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</si>
  <si>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</si>
  <si>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</si>
  <si>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</si>
  <si>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</si>
  <si>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</si>
  <si>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</si>
  <si>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</si>
  <si>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</si>
  <si>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</si>
  <si>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</si>
  <si>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</si>
  <si>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</si>
  <si>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</si>
  <si>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</si>
  <si>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</si>
  <si>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</si>
  <si>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</si>
  <si>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</si>
  <si>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</si>
  <si>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</si>
  <si>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</si>
  <si>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</si>
  <si>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</si>
  <si>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</si>
  <si>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</si>
  <si>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</si>
  <si>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</si>
  <si>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</si>
  <si>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</si>
  <si>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</si>
  <si>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</si>
  <si>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</si>
  <si>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</si>
  <si>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</si>
  <si>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</si>
  <si>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</si>
  <si>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</si>
  <si>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</si>
  <si>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</si>
  <si>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</si>
  <si>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</si>
  <si>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</si>
  <si>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</si>
  <si>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</si>
  <si>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</si>
  <si>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</si>
  <si>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</si>
  <si>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</si>
  <si>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</si>
  <si>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</si>
  <si>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</si>
  <si>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</si>
  <si>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</si>
  <si>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</si>
  <si>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</si>
  <si>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23023</t>
  </si>
  <si>
    <t>GALMAARDEN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</si>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</sst>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83468.123184555225</c:v>
                </c:pt>
                <c:pt idx="1">
                  <c:v>10988.472273491963</c:v>
                </c:pt>
                <c:pt idx="2">
                  <c:v>646.29700000000003</c:v>
                </c:pt>
                <c:pt idx="3">
                  <c:v>4047.6589919178496</c:v>
                </c:pt>
                <c:pt idx="4">
                  <c:v>1917.1435796203866</c:v>
                </c:pt>
                <c:pt idx="5">
                  <c:v>41583.973299842713</c:v>
                </c:pt>
                <c:pt idx="6">
                  <c:v>805.19742969064612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83468.123184555225</c:v>
                </c:pt>
                <c:pt idx="1">
                  <c:v>10988.472273491963</c:v>
                </c:pt>
                <c:pt idx="2">
                  <c:v>646.29700000000003</c:v>
                </c:pt>
                <c:pt idx="3">
                  <c:v>4047.6589919178496</c:v>
                </c:pt>
                <c:pt idx="4">
                  <c:v>1917.1435796203866</c:v>
                </c:pt>
                <c:pt idx="5">
                  <c:v>41583.973299842713</c:v>
                </c:pt>
                <c:pt idx="6">
                  <c:v>805.19742969064612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17232.926781670019</c:v>
                </c:pt>
                <c:pt idx="2">
                  <c:v>2147.2789430346356</c:v>
                </c:pt>
                <c:pt idx="3">
                  <c:v>131.67676175319664</c:v>
                </c:pt>
                <c:pt idx="4">
                  <c:v>1037.8617110257348</c:v>
                </c:pt>
                <c:pt idx="5">
                  <c:v>382.39898374133367</c:v>
                </c:pt>
                <c:pt idx="6">
                  <c:v>10401.148910294207</c:v>
                </c:pt>
                <c:pt idx="7">
                  <c:v>203.43358421697505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17232.926781670019</c:v>
                </c:pt>
                <c:pt idx="2">
                  <c:v>2147.2789430346356</c:v>
                </c:pt>
                <c:pt idx="3">
                  <c:v>131.67676175319664</c:v>
                </c:pt>
                <c:pt idx="4">
                  <c:v>1037.8617110257348</c:v>
                </c:pt>
                <c:pt idx="5">
                  <c:v>382.39898374133367</c:v>
                </c:pt>
                <c:pt idx="6">
                  <c:v>10401.148910294207</c:v>
                </c:pt>
                <c:pt idx="7">
                  <c:v>203.43358421697505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23023</v>
      </c>
      <c r="B6" s="415"/>
      <c r="C6" s="416"/>
    </row>
    <row r="7" spans="1:7" s="413" customFormat="1" ht="15.75" customHeight="1">
      <c r="A7" s="417" t="str">
        <f>txtMunicipality</f>
        <v>GALMAARDEN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5774.8904080000011</v>
      </c>
      <c r="D10" s="1013">
        <f ca="1">tertiair!C16</f>
        <v>0</v>
      </c>
      <c r="E10" s="1013">
        <f ca="1">tertiair!D16</f>
        <v>4151.1714112000009</v>
      </c>
      <c r="F10" s="1013">
        <f>tertiair!E16</f>
        <v>73.858448074457939</v>
      </c>
      <c r="G10" s="1013">
        <f ca="1">tertiair!F16</f>
        <v>925.35163876991408</v>
      </c>
      <c r="H10" s="1013">
        <f>tertiair!G16</f>
        <v>0</v>
      </c>
      <c r="I10" s="1013">
        <f>tertiair!H16</f>
        <v>0</v>
      </c>
      <c r="J10" s="1013">
        <f>tertiair!I16</f>
        <v>0</v>
      </c>
      <c r="K10" s="1013">
        <f>tertiair!J16</f>
        <v>1.770512859836542E-2</v>
      </c>
      <c r="L10" s="1013">
        <f>tertiair!K16</f>
        <v>0</v>
      </c>
      <c r="M10" s="1013">
        <f ca="1">tertiair!L16</f>
        <v>0</v>
      </c>
      <c r="N10" s="1013">
        <f>tertiair!M16</f>
        <v>0</v>
      </c>
      <c r="O10" s="1013">
        <f ca="1">tertiair!N16</f>
        <v>706.35299565232333</v>
      </c>
      <c r="P10" s="1013">
        <f>tertiair!O16</f>
        <v>3.1266666666666669</v>
      </c>
      <c r="Q10" s="1014">
        <f>tertiair!P16</f>
        <v>0</v>
      </c>
      <c r="R10" s="700">
        <f ca="1">SUM(C10:Q10)</f>
        <v>11634.769273491964</v>
      </c>
      <c r="S10" s="67"/>
    </row>
    <row r="11" spans="1:19" s="473" customFormat="1">
      <c r="A11" s="809" t="s">
        <v>225</v>
      </c>
      <c r="B11" s="814"/>
      <c r="C11" s="1013">
        <f>huishoudens!B8</f>
        <v>16085.031440333525</v>
      </c>
      <c r="D11" s="1013">
        <f>huishoudens!C8</f>
        <v>0</v>
      </c>
      <c r="E11" s="1013">
        <f>huishoudens!D8</f>
        <v>14688.181575099999</v>
      </c>
      <c r="F11" s="1013">
        <f>huishoudens!E8</f>
        <v>4393.2767452217377</v>
      </c>
      <c r="G11" s="1013">
        <f>huishoudens!F8</f>
        <v>35420.353782891732</v>
      </c>
      <c r="H11" s="1013">
        <f>huishoudens!G8</f>
        <v>0</v>
      </c>
      <c r="I11" s="1013">
        <f>huishoudens!H8</f>
        <v>0</v>
      </c>
      <c r="J11" s="1013">
        <f>huishoudens!I8</f>
        <v>0</v>
      </c>
      <c r="K11" s="1013">
        <f>huishoudens!J8</f>
        <v>1509.1419942108123</v>
      </c>
      <c r="L11" s="1013">
        <f>huishoudens!K8</f>
        <v>0</v>
      </c>
      <c r="M11" s="1013">
        <f>huishoudens!L8</f>
        <v>0</v>
      </c>
      <c r="N11" s="1013">
        <f>huishoudens!M8</f>
        <v>0</v>
      </c>
      <c r="O11" s="1013">
        <f>huishoudens!N8</f>
        <v>10266.547646797404</v>
      </c>
      <c r="P11" s="1013">
        <f>huishoudens!O8</f>
        <v>114.12333333333335</v>
      </c>
      <c r="Q11" s="1014">
        <f>huishoudens!P8</f>
        <v>991.4666666666667</v>
      </c>
      <c r="R11" s="700">
        <f>SUM(C11:Q11)</f>
        <v>83468.123184555225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740.74584300000004</v>
      </c>
      <c r="D13" s="1013">
        <f>industrie!C18</f>
        <v>0</v>
      </c>
      <c r="E13" s="1013">
        <f>industrie!D18</f>
        <v>481.35825320000004</v>
      </c>
      <c r="F13" s="1013">
        <f>industrie!E18</f>
        <v>135.03184143467234</v>
      </c>
      <c r="G13" s="1013">
        <f>industrie!F18</f>
        <v>387.8537143982569</v>
      </c>
      <c r="H13" s="1013">
        <f>industrie!G18</f>
        <v>0</v>
      </c>
      <c r="I13" s="1013">
        <f>industrie!H18</f>
        <v>0</v>
      </c>
      <c r="J13" s="1013">
        <f>industrie!I18</f>
        <v>0</v>
      </c>
      <c r="K13" s="1013">
        <f>industrie!J18</f>
        <v>0.10069770512842224</v>
      </c>
      <c r="L13" s="1013">
        <f>industrie!K18</f>
        <v>0</v>
      </c>
      <c r="M13" s="1013">
        <f>industrie!L18</f>
        <v>0</v>
      </c>
      <c r="N13" s="1013">
        <f>industrie!M18</f>
        <v>0</v>
      </c>
      <c r="O13" s="1013">
        <f>industrie!N18</f>
        <v>172.05322988232896</v>
      </c>
      <c r="P13" s="1013">
        <f>industrie!O18</f>
        <v>0</v>
      </c>
      <c r="Q13" s="1014">
        <f>industrie!P18</f>
        <v>0</v>
      </c>
      <c r="R13" s="700">
        <f>SUM(C13:Q13)</f>
        <v>1917.1435796203866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22600.667691333529</v>
      </c>
      <c r="D16" s="732">
        <f t="shared" ref="D16:R16" ca="1" si="0">SUM(D9:D15)</f>
        <v>0</v>
      </c>
      <c r="E16" s="732">
        <f t="shared" ca="1" si="0"/>
        <v>19320.7112395</v>
      </c>
      <c r="F16" s="732">
        <f t="shared" si="0"/>
        <v>4602.1670347308673</v>
      </c>
      <c r="G16" s="732">
        <f t="shared" ca="1" si="0"/>
        <v>36733.559136059899</v>
      </c>
      <c r="H16" s="732">
        <f t="shared" si="0"/>
        <v>0</v>
      </c>
      <c r="I16" s="732">
        <f t="shared" si="0"/>
        <v>0</v>
      </c>
      <c r="J16" s="732">
        <f t="shared" si="0"/>
        <v>0</v>
      </c>
      <c r="K16" s="732">
        <f t="shared" si="0"/>
        <v>1509.2603970445391</v>
      </c>
      <c r="L16" s="732">
        <f t="shared" si="0"/>
        <v>0</v>
      </c>
      <c r="M16" s="732">
        <f t="shared" ca="1" si="0"/>
        <v>0</v>
      </c>
      <c r="N16" s="732">
        <f t="shared" si="0"/>
        <v>0</v>
      </c>
      <c r="O16" s="732">
        <f t="shared" ca="1" si="0"/>
        <v>11144.953872332057</v>
      </c>
      <c r="P16" s="732">
        <f t="shared" si="0"/>
        <v>117.25000000000001</v>
      </c>
      <c r="Q16" s="732">
        <f t="shared" si="0"/>
        <v>991.4666666666667</v>
      </c>
      <c r="R16" s="732">
        <f t="shared" ca="1" si="0"/>
        <v>97020.036037667582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761.92353639316491</v>
      </c>
      <c r="I19" s="1013">
        <f>transport!H54</f>
        <v>0</v>
      </c>
      <c r="J19" s="1013">
        <f>transport!I54</f>
        <v>0</v>
      </c>
      <c r="K19" s="1013">
        <f>transport!J54</f>
        <v>0</v>
      </c>
      <c r="L19" s="1013">
        <f>transport!K54</f>
        <v>0</v>
      </c>
      <c r="M19" s="1013">
        <f>transport!L54</f>
        <v>0</v>
      </c>
      <c r="N19" s="1013">
        <f>transport!M54</f>
        <v>43.273893297481159</v>
      </c>
      <c r="O19" s="1013">
        <f>transport!N54</f>
        <v>0</v>
      </c>
      <c r="P19" s="1013">
        <f>transport!O54</f>
        <v>0</v>
      </c>
      <c r="Q19" s="1014">
        <f>transport!P54</f>
        <v>0</v>
      </c>
      <c r="R19" s="700">
        <f>SUM(C19:Q19)</f>
        <v>805.19742969064612</v>
      </c>
      <c r="S19" s="67"/>
    </row>
    <row r="20" spans="1:19" s="473" customFormat="1">
      <c r="A20" s="809" t="s">
        <v>307</v>
      </c>
      <c r="B20" s="814"/>
      <c r="C20" s="1013">
        <f>transport!B14</f>
        <v>18.439952598368738</v>
      </c>
      <c r="D20" s="1013">
        <f>transport!C14</f>
        <v>0</v>
      </c>
      <c r="E20" s="1013">
        <f>transport!D14</f>
        <v>68.402061197562105</v>
      </c>
      <c r="F20" s="1013">
        <f>transport!E14</f>
        <v>90.426794786715831</v>
      </c>
      <c r="G20" s="1013">
        <f>transport!F14</f>
        <v>0</v>
      </c>
      <c r="H20" s="1013">
        <f>transport!G14</f>
        <v>31644.493310445778</v>
      </c>
      <c r="I20" s="1013">
        <f>transport!H14</f>
        <v>7686.6190187344428</v>
      </c>
      <c r="J20" s="1013">
        <f>transport!I14</f>
        <v>0</v>
      </c>
      <c r="K20" s="1013">
        <f>transport!J14</f>
        <v>0</v>
      </c>
      <c r="L20" s="1013">
        <f>transport!K14</f>
        <v>0</v>
      </c>
      <c r="M20" s="1013">
        <f>transport!L14</f>
        <v>0</v>
      </c>
      <c r="N20" s="1013">
        <f>transport!M14</f>
        <v>2075.5921620798449</v>
      </c>
      <c r="O20" s="1013">
        <f>transport!N14</f>
        <v>0</v>
      </c>
      <c r="P20" s="1013">
        <f>transport!O14</f>
        <v>0</v>
      </c>
      <c r="Q20" s="1014">
        <f>transport!P14</f>
        <v>0</v>
      </c>
      <c r="R20" s="700">
        <f>SUM(C20:Q20)</f>
        <v>41583.973299842713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18.439952598368738</v>
      </c>
      <c r="D22" s="812">
        <f t="shared" ref="D22:R22" si="1">SUM(D18:D21)</f>
        <v>0</v>
      </c>
      <c r="E22" s="812">
        <f t="shared" si="1"/>
        <v>68.402061197562105</v>
      </c>
      <c r="F22" s="812">
        <f t="shared" si="1"/>
        <v>90.426794786715831</v>
      </c>
      <c r="G22" s="812">
        <f t="shared" si="1"/>
        <v>0</v>
      </c>
      <c r="H22" s="812">
        <f t="shared" si="1"/>
        <v>32406.416846838943</v>
      </c>
      <c r="I22" s="812">
        <f t="shared" si="1"/>
        <v>7686.6190187344428</v>
      </c>
      <c r="J22" s="812">
        <f t="shared" si="1"/>
        <v>0</v>
      </c>
      <c r="K22" s="812">
        <f t="shared" si="1"/>
        <v>0</v>
      </c>
      <c r="L22" s="812">
        <f t="shared" si="1"/>
        <v>0</v>
      </c>
      <c r="M22" s="812">
        <f t="shared" si="1"/>
        <v>0</v>
      </c>
      <c r="N22" s="812">
        <f t="shared" si="1"/>
        <v>2118.8660553773261</v>
      </c>
      <c r="O22" s="812">
        <f t="shared" si="1"/>
        <v>0</v>
      </c>
      <c r="P22" s="812">
        <f t="shared" si="1"/>
        <v>0</v>
      </c>
      <c r="Q22" s="812">
        <f t="shared" si="1"/>
        <v>0</v>
      </c>
      <c r="R22" s="812">
        <f t="shared" si="1"/>
        <v>42389.170729533362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745.84199999999998</v>
      </c>
      <c r="D24" s="1013">
        <f>+landbouw!C8</f>
        <v>0</v>
      </c>
      <c r="E24" s="1013">
        <f>+landbouw!D8</f>
        <v>64.700460000000007</v>
      </c>
      <c r="F24" s="1013">
        <f>+landbouw!E8</f>
        <v>21.922574444405608</v>
      </c>
      <c r="G24" s="1013">
        <f>+landbouw!F8</f>
        <v>3107.1374688137403</v>
      </c>
      <c r="H24" s="1013">
        <f>+landbouw!G8</f>
        <v>0</v>
      </c>
      <c r="I24" s="1013">
        <f>+landbouw!H8</f>
        <v>0</v>
      </c>
      <c r="J24" s="1013">
        <f>+landbouw!I8</f>
        <v>0</v>
      </c>
      <c r="K24" s="1013">
        <f>+landbouw!J8</f>
        <v>108.0564886597036</v>
      </c>
      <c r="L24" s="1013">
        <f>+landbouw!K8</f>
        <v>0</v>
      </c>
      <c r="M24" s="1013">
        <f>+landbouw!L8</f>
        <v>0</v>
      </c>
      <c r="N24" s="1013">
        <f>+landbouw!M8</f>
        <v>0</v>
      </c>
      <c r="O24" s="1013">
        <f>+landbouw!N8</f>
        <v>0</v>
      </c>
      <c r="P24" s="1013">
        <f>+landbouw!O8</f>
        <v>0</v>
      </c>
      <c r="Q24" s="1014">
        <f>+landbouw!P8</f>
        <v>0</v>
      </c>
      <c r="R24" s="700">
        <f>SUM(C24:Q24)</f>
        <v>4047.6589919178496</v>
      </c>
      <c r="S24" s="67"/>
    </row>
    <row r="25" spans="1:19" s="473" customFormat="1" ht="15" thickBot="1">
      <c r="A25" s="831" t="s">
        <v>836</v>
      </c>
      <c r="B25" s="1016"/>
      <c r="C25" s="1017">
        <f>IF(Onbekend_ele_kWh="---",0,Onbekend_ele_kWh)/1000+IF(REST_rest_ele_kWh="---",0,REST_rest_ele_kWh)/1000</f>
        <v>162.37225000000001</v>
      </c>
      <c r="D25" s="1017"/>
      <c r="E25" s="1017">
        <f>IF(onbekend_gas_kWh="---",0,onbekend_gas_kWh)/1000+IF(REST_rest_gas_kWh="---",0,REST_rest_gas_kWh)/1000</f>
        <v>300.38799999999998</v>
      </c>
      <c r="F25" s="1017"/>
      <c r="G25" s="1017"/>
      <c r="H25" s="1017"/>
      <c r="I25" s="1017"/>
      <c r="J25" s="1017"/>
      <c r="K25" s="1017"/>
      <c r="L25" s="1017"/>
      <c r="M25" s="1017"/>
      <c r="N25" s="1017"/>
      <c r="O25" s="1017"/>
      <c r="P25" s="1017"/>
      <c r="Q25" s="1018"/>
      <c r="R25" s="700">
        <f>SUM(C25:Q25)</f>
        <v>462.76024999999998</v>
      </c>
      <c r="S25" s="67"/>
    </row>
    <row r="26" spans="1:19" s="473" customFormat="1" ht="15.75" thickBot="1">
      <c r="A26" s="705" t="s">
        <v>837</v>
      </c>
      <c r="B26" s="817"/>
      <c r="C26" s="812">
        <f>SUM(C24:C25)</f>
        <v>908.21424999999999</v>
      </c>
      <c r="D26" s="812">
        <f t="shared" ref="D26:R26" si="2">SUM(D24:D25)</f>
        <v>0</v>
      </c>
      <c r="E26" s="812">
        <f t="shared" si="2"/>
        <v>365.08846</v>
      </c>
      <c r="F26" s="812">
        <f t="shared" si="2"/>
        <v>21.922574444405608</v>
      </c>
      <c r="G26" s="812">
        <f t="shared" si="2"/>
        <v>3107.1374688137403</v>
      </c>
      <c r="H26" s="812">
        <f t="shared" si="2"/>
        <v>0</v>
      </c>
      <c r="I26" s="812">
        <f t="shared" si="2"/>
        <v>0</v>
      </c>
      <c r="J26" s="812">
        <f t="shared" si="2"/>
        <v>0</v>
      </c>
      <c r="K26" s="812">
        <f t="shared" si="2"/>
        <v>108.0564886597036</v>
      </c>
      <c r="L26" s="812">
        <f t="shared" si="2"/>
        <v>0</v>
      </c>
      <c r="M26" s="812">
        <f t="shared" si="2"/>
        <v>0</v>
      </c>
      <c r="N26" s="812">
        <f t="shared" si="2"/>
        <v>0</v>
      </c>
      <c r="O26" s="812">
        <f t="shared" si="2"/>
        <v>0</v>
      </c>
      <c r="P26" s="812">
        <f t="shared" si="2"/>
        <v>0</v>
      </c>
      <c r="Q26" s="812">
        <f t="shared" si="2"/>
        <v>0</v>
      </c>
      <c r="R26" s="812">
        <f t="shared" si="2"/>
        <v>4510.4192419178498</v>
      </c>
      <c r="S26" s="67"/>
    </row>
    <row r="27" spans="1:19" s="473" customFormat="1" ht="17.25" thickTop="1" thickBot="1">
      <c r="A27" s="706" t="s">
        <v>116</v>
      </c>
      <c r="B27" s="805"/>
      <c r="C27" s="707">
        <f ca="1">C22+C16+C26</f>
        <v>23527.321893931898</v>
      </c>
      <c r="D27" s="707">
        <f t="shared" ref="D27:R27" ca="1" si="3">D22+D16+D26</f>
        <v>0</v>
      </c>
      <c r="E27" s="707">
        <f t="shared" ca="1" si="3"/>
        <v>19754.201760697561</v>
      </c>
      <c r="F27" s="707">
        <f t="shared" si="3"/>
        <v>4714.5164039619885</v>
      </c>
      <c r="G27" s="707">
        <f t="shared" ca="1" si="3"/>
        <v>39840.696604873636</v>
      </c>
      <c r="H27" s="707">
        <f t="shared" si="3"/>
        <v>32406.416846838943</v>
      </c>
      <c r="I27" s="707">
        <f t="shared" si="3"/>
        <v>7686.6190187344428</v>
      </c>
      <c r="J27" s="707">
        <f t="shared" si="3"/>
        <v>0</v>
      </c>
      <c r="K27" s="707">
        <f t="shared" si="3"/>
        <v>1617.3168857042426</v>
      </c>
      <c r="L27" s="707">
        <f t="shared" si="3"/>
        <v>0</v>
      </c>
      <c r="M27" s="707">
        <f t="shared" ca="1" si="3"/>
        <v>0</v>
      </c>
      <c r="N27" s="707">
        <f t="shared" si="3"/>
        <v>2118.8660553773261</v>
      </c>
      <c r="O27" s="707">
        <f t="shared" ca="1" si="3"/>
        <v>11144.953872332057</v>
      </c>
      <c r="P27" s="707">
        <f t="shared" si="3"/>
        <v>117.25000000000001</v>
      </c>
      <c r="Q27" s="707">
        <f t="shared" si="3"/>
        <v>991.4666666666667</v>
      </c>
      <c r="R27" s="707">
        <f t="shared" ca="1" si="3"/>
        <v>143919.6260091188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1176.5780568454388</v>
      </c>
      <c r="D40" s="1013">
        <f ca="1">tertiair!C20</f>
        <v>0</v>
      </c>
      <c r="E40" s="1013">
        <f ca="1">tertiair!D20</f>
        <v>838.53662506240028</v>
      </c>
      <c r="F40" s="1013">
        <f>tertiair!E20</f>
        <v>16.765867712901954</v>
      </c>
      <c r="G40" s="1013">
        <f ca="1">tertiair!F20</f>
        <v>247.06888755156706</v>
      </c>
      <c r="H40" s="1013">
        <f>tertiair!G20</f>
        <v>0</v>
      </c>
      <c r="I40" s="1013">
        <f>tertiair!H20</f>
        <v>0</v>
      </c>
      <c r="J40" s="1013">
        <f>tertiair!I20</f>
        <v>0</v>
      </c>
      <c r="K40" s="1013">
        <f>tertiair!J20</f>
        <v>6.2676155238213585E-3</v>
      </c>
      <c r="L40" s="1013">
        <f>tertiair!K20</f>
        <v>0</v>
      </c>
      <c r="M40" s="1013">
        <f ca="1">tertiair!L20</f>
        <v>0</v>
      </c>
      <c r="N40" s="1013">
        <f>tertiair!M20</f>
        <v>0</v>
      </c>
      <c r="O40" s="1013">
        <f ca="1">tertiair!N20</f>
        <v>0</v>
      </c>
      <c r="P40" s="1013">
        <f>tertiair!O20</f>
        <v>0</v>
      </c>
      <c r="Q40" s="774">
        <f>tertiair!P20</f>
        <v>0</v>
      </c>
      <c r="R40" s="850">
        <f t="shared" ca="1" si="4"/>
        <v>2278.955704787832</v>
      </c>
    </row>
    <row r="41" spans="1:18">
      <c r="A41" s="822" t="s">
        <v>225</v>
      </c>
      <c r="B41" s="829"/>
      <c r="C41" s="1013">
        <f ca="1">huishoudens!B12</f>
        <v>3277.1695563517624</v>
      </c>
      <c r="D41" s="1013">
        <f ca="1">huishoudens!C12</f>
        <v>0</v>
      </c>
      <c r="E41" s="1013">
        <f>huishoudens!D12</f>
        <v>2967.0126781702002</v>
      </c>
      <c r="F41" s="1013">
        <f>huishoudens!E12</f>
        <v>997.27382116533443</v>
      </c>
      <c r="G41" s="1013">
        <f>huishoudens!F12</f>
        <v>9457.2344600320939</v>
      </c>
      <c r="H41" s="1013">
        <f>huishoudens!G12</f>
        <v>0</v>
      </c>
      <c r="I41" s="1013">
        <f>huishoudens!H12</f>
        <v>0</v>
      </c>
      <c r="J41" s="1013">
        <f>huishoudens!I12</f>
        <v>0</v>
      </c>
      <c r="K41" s="1013">
        <f>huishoudens!J12</f>
        <v>534.23626595062751</v>
      </c>
      <c r="L41" s="1013">
        <f>huishoudens!K12</f>
        <v>0</v>
      </c>
      <c r="M41" s="1013">
        <f>huishoudens!L12</f>
        <v>0</v>
      </c>
      <c r="N41" s="1013">
        <f>huishoudens!M12</f>
        <v>0</v>
      </c>
      <c r="O41" s="1013">
        <f>huishoudens!N12</f>
        <v>0</v>
      </c>
      <c r="P41" s="1013">
        <f>huishoudens!O12</f>
        <v>0</v>
      </c>
      <c r="Q41" s="774">
        <f>huishoudens!P12</f>
        <v>0</v>
      </c>
      <c r="R41" s="850">
        <f t="shared" ca="1" si="4"/>
        <v>17232.926781670019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150.91979985731297</v>
      </c>
      <c r="D43" s="1013">
        <f ca="1">industrie!C22</f>
        <v>0</v>
      </c>
      <c r="E43" s="1013">
        <f>industrie!D22</f>
        <v>97.234367146400018</v>
      </c>
      <c r="F43" s="1013">
        <f>industrie!E22</f>
        <v>30.652228005670622</v>
      </c>
      <c r="G43" s="1013">
        <f>industrie!F22</f>
        <v>103.55694174433459</v>
      </c>
      <c r="H43" s="1013">
        <f>industrie!G22</f>
        <v>0</v>
      </c>
      <c r="I43" s="1013">
        <f>industrie!H22</f>
        <v>0</v>
      </c>
      <c r="J43" s="1013">
        <f>industrie!I22</f>
        <v>0</v>
      </c>
      <c r="K43" s="1013">
        <f>industrie!J22</f>
        <v>3.5646987615461471E-2</v>
      </c>
      <c r="L43" s="1013">
        <f>industrie!K22</f>
        <v>0</v>
      </c>
      <c r="M43" s="1013">
        <f>industrie!L22</f>
        <v>0</v>
      </c>
      <c r="N43" s="1013">
        <f>industrie!M22</f>
        <v>0</v>
      </c>
      <c r="O43" s="1013">
        <f>industrie!N22</f>
        <v>0</v>
      </c>
      <c r="P43" s="1013">
        <f>industrie!O22</f>
        <v>0</v>
      </c>
      <c r="Q43" s="774">
        <f>industrie!P22</f>
        <v>0</v>
      </c>
      <c r="R43" s="849">
        <f t="shared" ca="1" si="4"/>
        <v>382.39898374133367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4604.6674130545143</v>
      </c>
      <c r="D46" s="732">
        <f t="shared" ref="D46:Q46" ca="1" si="5">SUM(D39:D45)</f>
        <v>0</v>
      </c>
      <c r="E46" s="732">
        <f t="shared" ca="1" si="5"/>
        <v>3902.7836703790003</v>
      </c>
      <c r="F46" s="732">
        <f t="shared" si="5"/>
        <v>1044.691916883907</v>
      </c>
      <c r="G46" s="732">
        <f t="shared" ca="1" si="5"/>
        <v>9807.8602893279949</v>
      </c>
      <c r="H46" s="732">
        <f t="shared" si="5"/>
        <v>0</v>
      </c>
      <c r="I46" s="732">
        <f t="shared" si="5"/>
        <v>0</v>
      </c>
      <c r="J46" s="732">
        <f t="shared" si="5"/>
        <v>0</v>
      </c>
      <c r="K46" s="732">
        <f t="shared" si="5"/>
        <v>534.27818055376679</v>
      </c>
      <c r="L46" s="732">
        <f t="shared" si="5"/>
        <v>0</v>
      </c>
      <c r="M46" s="732">
        <f t="shared" ca="1" si="5"/>
        <v>0</v>
      </c>
      <c r="N46" s="732">
        <f t="shared" si="5"/>
        <v>0</v>
      </c>
      <c r="O46" s="732">
        <f t="shared" ca="1" si="5"/>
        <v>0</v>
      </c>
      <c r="P46" s="732">
        <f t="shared" si="5"/>
        <v>0</v>
      </c>
      <c r="Q46" s="732">
        <f t="shared" si="5"/>
        <v>0</v>
      </c>
      <c r="R46" s="732">
        <f ca="1">SUM(R39:R45)</f>
        <v>19894.281470199185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203.43358421697505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203.43358421697505</v>
      </c>
    </row>
    <row r="50" spans="1:18">
      <c r="A50" s="825" t="s">
        <v>307</v>
      </c>
      <c r="B50" s="835"/>
      <c r="C50" s="703">
        <f ca="1">transport!B18</f>
        <v>3.7569619618157586</v>
      </c>
      <c r="D50" s="703">
        <f>transport!C18</f>
        <v>0</v>
      </c>
      <c r="E50" s="703">
        <f>transport!D18</f>
        <v>13.817216361907546</v>
      </c>
      <c r="F50" s="703">
        <f>transport!E18</f>
        <v>20.526882416584495</v>
      </c>
      <c r="G50" s="703">
        <f>transport!F18</f>
        <v>0</v>
      </c>
      <c r="H50" s="703">
        <f>transport!G18</f>
        <v>8449.079713889023</v>
      </c>
      <c r="I50" s="703">
        <f>transport!H18</f>
        <v>1913.9681356648762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10401.148910294207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3.7569619618157586</v>
      </c>
      <c r="D52" s="732">
        <f t="shared" ref="D52:Q52" ca="1" si="6">SUM(D48:D51)</f>
        <v>0</v>
      </c>
      <c r="E52" s="732">
        <f t="shared" si="6"/>
        <v>13.817216361907546</v>
      </c>
      <c r="F52" s="732">
        <f t="shared" si="6"/>
        <v>20.526882416584495</v>
      </c>
      <c r="G52" s="732">
        <f t="shared" si="6"/>
        <v>0</v>
      </c>
      <c r="H52" s="732">
        <f t="shared" si="6"/>
        <v>8652.5132981059978</v>
      </c>
      <c r="I52" s="732">
        <f t="shared" si="6"/>
        <v>1913.9681356648762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10604.582494511182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151.95809254805096</v>
      </c>
      <c r="D54" s="703">
        <f ca="1">+landbouw!C12</f>
        <v>0</v>
      </c>
      <c r="E54" s="703">
        <f>+landbouw!D12</f>
        <v>13.069492920000002</v>
      </c>
      <c r="F54" s="703">
        <f>+landbouw!E12</f>
        <v>4.9764243988800736</v>
      </c>
      <c r="G54" s="703">
        <f>+landbouw!F12</f>
        <v>829.60570417326869</v>
      </c>
      <c r="H54" s="703">
        <f>+landbouw!G12</f>
        <v>0</v>
      </c>
      <c r="I54" s="703">
        <f>+landbouw!H12</f>
        <v>0</v>
      </c>
      <c r="J54" s="703">
        <f>+landbouw!I12</f>
        <v>0</v>
      </c>
      <c r="K54" s="703">
        <f>+landbouw!J12</f>
        <v>38.251996985535072</v>
      </c>
      <c r="L54" s="703">
        <f>+landbouw!K12</f>
        <v>0</v>
      </c>
      <c r="M54" s="703">
        <f>+landbouw!L12</f>
        <v>0</v>
      </c>
      <c r="N54" s="703">
        <f>+landbouw!M12</f>
        <v>0</v>
      </c>
      <c r="O54" s="703">
        <f>+landbouw!N12</f>
        <v>0</v>
      </c>
      <c r="P54" s="703">
        <f>+landbouw!O12</f>
        <v>0</v>
      </c>
      <c r="Q54" s="704">
        <f>+landbouw!P12</f>
        <v>0</v>
      </c>
      <c r="R54" s="731">
        <f ca="1">SUM(C54:Q54)</f>
        <v>1037.8617110257348</v>
      </c>
    </row>
    <row r="55" spans="1:18" ht="15" thickBot="1">
      <c r="A55" s="825" t="s">
        <v>836</v>
      </c>
      <c r="B55" s="835"/>
      <c r="C55" s="703">
        <f ca="1">C25*'EF ele_warmte'!B12</f>
        <v>33.081775218793346</v>
      </c>
      <c r="D55" s="703"/>
      <c r="E55" s="703">
        <f>E25*EF_CO2_aardgas</f>
        <v>60.678376</v>
      </c>
      <c r="F55" s="703"/>
      <c r="G55" s="703"/>
      <c r="H55" s="703"/>
      <c r="I55" s="703"/>
      <c r="J55" s="703"/>
      <c r="K55" s="703"/>
      <c r="L55" s="703"/>
      <c r="M55" s="703"/>
      <c r="N55" s="703"/>
      <c r="O55" s="703"/>
      <c r="P55" s="703"/>
      <c r="Q55" s="704"/>
      <c r="R55" s="731">
        <f ca="1">SUM(C55:Q55)</f>
        <v>93.760151218793339</v>
      </c>
    </row>
    <row r="56" spans="1:18" ht="15.75" thickBot="1">
      <c r="A56" s="823" t="s">
        <v>837</v>
      </c>
      <c r="B56" s="836"/>
      <c r="C56" s="732">
        <f ca="1">SUM(C54:C55)</f>
        <v>185.03986776684431</v>
      </c>
      <c r="D56" s="732">
        <f t="shared" ref="D56:Q56" ca="1" si="7">SUM(D54:D55)</f>
        <v>0</v>
      </c>
      <c r="E56" s="732">
        <f t="shared" si="7"/>
        <v>73.747868920000002</v>
      </c>
      <c r="F56" s="732">
        <f t="shared" si="7"/>
        <v>4.9764243988800736</v>
      </c>
      <c r="G56" s="732">
        <f t="shared" si="7"/>
        <v>829.60570417326869</v>
      </c>
      <c r="H56" s="732">
        <f t="shared" si="7"/>
        <v>0</v>
      </c>
      <c r="I56" s="732">
        <f t="shared" si="7"/>
        <v>0</v>
      </c>
      <c r="J56" s="732">
        <f t="shared" si="7"/>
        <v>0</v>
      </c>
      <c r="K56" s="732">
        <f t="shared" si="7"/>
        <v>38.251996985535072</v>
      </c>
      <c r="L56" s="732">
        <f t="shared" si="7"/>
        <v>0</v>
      </c>
      <c r="M56" s="732">
        <f t="shared" si="7"/>
        <v>0</v>
      </c>
      <c r="N56" s="732">
        <f t="shared" si="7"/>
        <v>0</v>
      </c>
      <c r="O56" s="732">
        <f t="shared" si="7"/>
        <v>0</v>
      </c>
      <c r="P56" s="732">
        <f t="shared" si="7"/>
        <v>0</v>
      </c>
      <c r="Q56" s="733">
        <f t="shared" si="7"/>
        <v>0</v>
      </c>
      <c r="R56" s="734">
        <f ca="1">SUM(R54:R55)</f>
        <v>1131.6218622445281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4793.464242783175</v>
      </c>
      <c r="D61" s="740">
        <f t="shared" ref="D61:Q61" ca="1" si="8">D46+D52+D56</f>
        <v>0</v>
      </c>
      <c r="E61" s="740">
        <f t="shared" ca="1" si="8"/>
        <v>3990.348755660908</v>
      </c>
      <c r="F61" s="740">
        <f t="shared" si="8"/>
        <v>1070.1952236993714</v>
      </c>
      <c r="G61" s="740">
        <f t="shared" ca="1" si="8"/>
        <v>10637.465993501264</v>
      </c>
      <c r="H61" s="740">
        <f t="shared" si="8"/>
        <v>8652.5132981059978</v>
      </c>
      <c r="I61" s="740">
        <f t="shared" si="8"/>
        <v>1913.9681356648762</v>
      </c>
      <c r="J61" s="740">
        <f t="shared" si="8"/>
        <v>0</v>
      </c>
      <c r="K61" s="740">
        <f t="shared" si="8"/>
        <v>572.5301775393018</v>
      </c>
      <c r="L61" s="740">
        <f t="shared" si="8"/>
        <v>0</v>
      </c>
      <c r="M61" s="740">
        <f t="shared" ca="1" si="8"/>
        <v>0</v>
      </c>
      <c r="N61" s="740">
        <f t="shared" si="8"/>
        <v>0</v>
      </c>
      <c r="O61" s="740">
        <f t="shared" ca="1" si="8"/>
        <v>0</v>
      </c>
      <c r="P61" s="740">
        <f t="shared" si="8"/>
        <v>0</v>
      </c>
      <c r="Q61" s="740">
        <f t="shared" si="8"/>
        <v>0</v>
      </c>
      <c r="R61" s="740">
        <f ca="1">R46+R52+R56</f>
        <v>31630.485826954893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0.20374032643381701</v>
      </c>
      <c r="D63" s="781">
        <f t="shared" ca="1" si="9"/>
        <v>0</v>
      </c>
      <c r="E63" s="1024">
        <f t="shared" ca="1" si="9"/>
        <v>0.20200000000000004</v>
      </c>
      <c r="F63" s="781">
        <f t="shared" si="9"/>
        <v>0.22699999999999998</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1837.4384424243174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1837.4384424243174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16085.031440333525</v>
      </c>
      <c r="C4" s="477">
        <f>huishoudens!C8</f>
        <v>0</v>
      </c>
      <c r="D4" s="477">
        <f>huishoudens!D8</f>
        <v>14688.181575099999</v>
      </c>
      <c r="E4" s="477">
        <f>huishoudens!E8</f>
        <v>4393.2767452217377</v>
      </c>
      <c r="F4" s="477">
        <f>huishoudens!F8</f>
        <v>35420.353782891732</v>
      </c>
      <c r="G4" s="477">
        <f>huishoudens!G8</f>
        <v>0</v>
      </c>
      <c r="H4" s="477">
        <f>huishoudens!H8</f>
        <v>0</v>
      </c>
      <c r="I4" s="477">
        <f>huishoudens!I8</f>
        <v>0</v>
      </c>
      <c r="J4" s="477">
        <f>huishoudens!J8</f>
        <v>1509.1419942108123</v>
      </c>
      <c r="K4" s="477">
        <f>huishoudens!K8</f>
        <v>0</v>
      </c>
      <c r="L4" s="477">
        <f>huishoudens!L8</f>
        <v>0</v>
      </c>
      <c r="M4" s="477">
        <f>huishoudens!M8</f>
        <v>0</v>
      </c>
      <c r="N4" s="477">
        <f>huishoudens!N8</f>
        <v>10266.547646797404</v>
      </c>
      <c r="O4" s="477">
        <f>huishoudens!O8</f>
        <v>114.12333333333335</v>
      </c>
      <c r="P4" s="478">
        <f>huishoudens!P8</f>
        <v>991.4666666666667</v>
      </c>
      <c r="Q4" s="479">
        <f>SUM(B4:P4)</f>
        <v>83468.123184555225</v>
      </c>
    </row>
    <row r="5" spans="1:17">
      <c r="A5" s="476" t="s">
        <v>156</v>
      </c>
      <c r="B5" s="477">
        <f ca="1">tertiair!B16</f>
        <v>5128.5934080000006</v>
      </c>
      <c r="C5" s="477">
        <f ca="1">tertiair!C16</f>
        <v>0</v>
      </c>
      <c r="D5" s="477">
        <f ca="1">tertiair!D16</f>
        <v>4151.1714112000009</v>
      </c>
      <c r="E5" s="477">
        <f>tertiair!E16</f>
        <v>73.858448074457939</v>
      </c>
      <c r="F5" s="477">
        <f ca="1">tertiair!F16</f>
        <v>925.35163876991408</v>
      </c>
      <c r="G5" s="477">
        <f>tertiair!G16</f>
        <v>0</v>
      </c>
      <c r="H5" s="477">
        <f>tertiair!H16</f>
        <v>0</v>
      </c>
      <c r="I5" s="477">
        <f>tertiair!I16</f>
        <v>0</v>
      </c>
      <c r="J5" s="477">
        <f>tertiair!J16</f>
        <v>1.770512859836542E-2</v>
      </c>
      <c r="K5" s="477">
        <f>tertiair!K16</f>
        <v>0</v>
      </c>
      <c r="L5" s="477">
        <f ca="1">tertiair!L16</f>
        <v>0</v>
      </c>
      <c r="M5" s="477">
        <f>tertiair!M16</f>
        <v>0</v>
      </c>
      <c r="N5" s="477">
        <f ca="1">tertiair!N16</f>
        <v>706.35299565232333</v>
      </c>
      <c r="O5" s="477">
        <f>tertiair!O16</f>
        <v>3.1266666666666669</v>
      </c>
      <c r="P5" s="478">
        <f>tertiair!P16</f>
        <v>0</v>
      </c>
      <c r="Q5" s="476">
        <f t="shared" ref="Q5:Q14" ca="1" si="0">SUM(B5:P5)</f>
        <v>10988.472273491963</v>
      </c>
    </row>
    <row r="6" spans="1:17">
      <c r="A6" s="476" t="s">
        <v>194</v>
      </c>
      <c r="B6" s="477">
        <f>'openbare verlichting'!B8</f>
        <v>646.29700000000003</v>
      </c>
      <c r="C6" s="477"/>
      <c r="D6" s="477"/>
      <c r="E6" s="477"/>
      <c r="F6" s="477"/>
      <c r="G6" s="477"/>
      <c r="H6" s="477"/>
      <c r="I6" s="477"/>
      <c r="J6" s="477"/>
      <c r="K6" s="477"/>
      <c r="L6" s="477"/>
      <c r="M6" s="477"/>
      <c r="N6" s="477"/>
      <c r="O6" s="477"/>
      <c r="P6" s="478"/>
      <c r="Q6" s="476">
        <f t="shared" si="0"/>
        <v>646.29700000000003</v>
      </c>
    </row>
    <row r="7" spans="1:17">
      <c r="A7" s="476" t="s">
        <v>112</v>
      </c>
      <c r="B7" s="477">
        <f>landbouw!B8</f>
        <v>745.84199999999998</v>
      </c>
      <c r="C7" s="477">
        <f>landbouw!C8</f>
        <v>0</v>
      </c>
      <c r="D7" s="477">
        <f>landbouw!D8</f>
        <v>64.700460000000007</v>
      </c>
      <c r="E7" s="477">
        <f>landbouw!E8</f>
        <v>21.922574444405608</v>
      </c>
      <c r="F7" s="477">
        <f>landbouw!F8</f>
        <v>3107.1374688137403</v>
      </c>
      <c r="G7" s="477">
        <f>landbouw!G8</f>
        <v>0</v>
      </c>
      <c r="H7" s="477">
        <f>landbouw!H8</f>
        <v>0</v>
      </c>
      <c r="I7" s="477">
        <f>landbouw!I8</f>
        <v>0</v>
      </c>
      <c r="J7" s="477">
        <f>landbouw!J8</f>
        <v>108.0564886597036</v>
      </c>
      <c r="K7" s="477">
        <f>landbouw!K8</f>
        <v>0</v>
      </c>
      <c r="L7" s="477">
        <f>landbouw!L8</f>
        <v>0</v>
      </c>
      <c r="M7" s="477">
        <f>landbouw!M8</f>
        <v>0</v>
      </c>
      <c r="N7" s="477">
        <f>landbouw!N8</f>
        <v>0</v>
      </c>
      <c r="O7" s="477">
        <f>landbouw!O8</f>
        <v>0</v>
      </c>
      <c r="P7" s="478">
        <f>landbouw!P8</f>
        <v>0</v>
      </c>
      <c r="Q7" s="476">
        <f t="shared" si="0"/>
        <v>4047.6589919178496</v>
      </c>
    </row>
    <row r="8" spans="1:17">
      <c r="A8" s="476" t="s">
        <v>635</v>
      </c>
      <c r="B8" s="477">
        <f>industrie!B18</f>
        <v>740.74584300000004</v>
      </c>
      <c r="C8" s="477">
        <f>industrie!C18</f>
        <v>0</v>
      </c>
      <c r="D8" s="477">
        <f>industrie!D18</f>
        <v>481.35825320000004</v>
      </c>
      <c r="E8" s="477">
        <f>industrie!E18</f>
        <v>135.03184143467234</v>
      </c>
      <c r="F8" s="477">
        <f>industrie!F18</f>
        <v>387.8537143982569</v>
      </c>
      <c r="G8" s="477">
        <f>industrie!G18</f>
        <v>0</v>
      </c>
      <c r="H8" s="477">
        <f>industrie!H18</f>
        <v>0</v>
      </c>
      <c r="I8" s="477">
        <f>industrie!I18</f>
        <v>0</v>
      </c>
      <c r="J8" s="477">
        <f>industrie!J18</f>
        <v>0.10069770512842224</v>
      </c>
      <c r="K8" s="477">
        <f>industrie!K18</f>
        <v>0</v>
      </c>
      <c r="L8" s="477">
        <f>industrie!L18</f>
        <v>0</v>
      </c>
      <c r="M8" s="477">
        <f>industrie!M18</f>
        <v>0</v>
      </c>
      <c r="N8" s="477">
        <f>industrie!N18</f>
        <v>172.05322988232896</v>
      </c>
      <c r="O8" s="477">
        <f>industrie!O18</f>
        <v>0</v>
      </c>
      <c r="P8" s="478">
        <f>industrie!P18</f>
        <v>0</v>
      </c>
      <c r="Q8" s="476">
        <f t="shared" si="0"/>
        <v>1917.1435796203866</v>
      </c>
    </row>
    <row r="9" spans="1:17" s="482" customFormat="1">
      <c r="A9" s="480" t="s">
        <v>561</v>
      </c>
      <c r="B9" s="481">
        <f>transport!B14</f>
        <v>18.439952598368738</v>
      </c>
      <c r="C9" s="481">
        <f>transport!C14</f>
        <v>0</v>
      </c>
      <c r="D9" s="481">
        <f>transport!D14</f>
        <v>68.402061197562105</v>
      </c>
      <c r="E9" s="481">
        <f>transport!E14</f>
        <v>90.426794786715831</v>
      </c>
      <c r="F9" s="481">
        <f>transport!F14</f>
        <v>0</v>
      </c>
      <c r="G9" s="481">
        <f>transport!G14</f>
        <v>31644.493310445778</v>
      </c>
      <c r="H9" s="481">
        <f>transport!H14</f>
        <v>7686.6190187344428</v>
      </c>
      <c r="I9" s="481">
        <f>transport!I14</f>
        <v>0</v>
      </c>
      <c r="J9" s="481">
        <f>transport!J14</f>
        <v>0</v>
      </c>
      <c r="K9" s="481">
        <f>transport!K14</f>
        <v>0</v>
      </c>
      <c r="L9" s="481">
        <f>transport!L14</f>
        <v>0</v>
      </c>
      <c r="M9" s="481">
        <f>transport!M14</f>
        <v>2075.5921620798449</v>
      </c>
      <c r="N9" s="481">
        <f>transport!N14</f>
        <v>0</v>
      </c>
      <c r="O9" s="481">
        <f>transport!O14</f>
        <v>0</v>
      </c>
      <c r="P9" s="481">
        <f>transport!P14</f>
        <v>0</v>
      </c>
      <c r="Q9" s="480">
        <f>SUM(B9:P9)</f>
        <v>41583.973299842713</v>
      </c>
    </row>
    <row r="10" spans="1:17">
      <c r="A10" s="476" t="s">
        <v>551</v>
      </c>
      <c r="B10" s="477">
        <f>transport!B54</f>
        <v>0</v>
      </c>
      <c r="C10" s="477">
        <f>transport!C54</f>
        <v>0</v>
      </c>
      <c r="D10" s="477">
        <f>transport!D54</f>
        <v>0</v>
      </c>
      <c r="E10" s="477">
        <f>transport!E54</f>
        <v>0</v>
      </c>
      <c r="F10" s="477">
        <f>transport!F54</f>
        <v>0</v>
      </c>
      <c r="G10" s="477">
        <f>transport!G54</f>
        <v>761.92353639316491</v>
      </c>
      <c r="H10" s="477">
        <f>transport!H54</f>
        <v>0</v>
      </c>
      <c r="I10" s="477">
        <f>transport!I54</f>
        <v>0</v>
      </c>
      <c r="J10" s="477">
        <f>transport!J54</f>
        <v>0</v>
      </c>
      <c r="K10" s="477">
        <f>transport!K54</f>
        <v>0</v>
      </c>
      <c r="L10" s="477">
        <f>transport!L54</f>
        <v>0</v>
      </c>
      <c r="M10" s="477">
        <f>transport!M54</f>
        <v>43.273893297481159</v>
      </c>
      <c r="N10" s="477">
        <f>transport!N54</f>
        <v>0</v>
      </c>
      <c r="O10" s="477">
        <f>transport!O54</f>
        <v>0</v>
      </c>
      <c r="P10" s="478">
        <f>transport!P54</f>
        <v>0</v>
      </c>
      <c r="Q10" s="476">
        <f t="shared" si="0"/>
        <v>805.19742969064612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162.37225000000001</v>
      </c>
      <c r="C14" s="484"/>
      <c r="D14" s="484">
        <f>'SEAP template'!E25</f>
        <v>300.38799999999998</v>
      </c>
      <c r="E14" s="484"/>
      <c r="F14" s="484"/>
      <c r="G14" s="484"/>
      <c r="H14" s="484"/>
      <c r="I14" s="484"/>
      <c r="J14" s="484"/>
      <c r="K14" s="484"/>
      <c r="L14" s="484"/>
      <c r="M14" s="484"/>
      <c r="N14" s="484"/>
      <c r="O14" s="484"/>
      <c r="P14" s="485"/>
      <c r="Q14" s="476">
        <f t="shared" si="0"/>
        <v>462.76024999999998</v>
      </c>
    </row>
    <row r="15" spans="1:17" s="486" customFormat="1">
      <c r="A15" s="1039" t="s">
        <v>555</v>
      </c>
      <c r="B15" s="987">
        <f ca="1">SUM(B4:B14)</f>
        <v>23527.321893931894</v>
      </c>
      <c r="C15" s="987">
        <f t="shared" ref="C15:Q15" ca="1" si="1">SUM(C4:C14)</f>
        <v>0</v>
      </c>
      <c r="D15" s="987">
        <f t="shared" ca="1" si="1"/>
        <v>19754.201760697561</v>
      </c>
      <c r="E15" s="987">
        <f t="shared" si="1"/>
        <v>4714.5164039619885</v>
      </c>
      <c r="F15" s="987">
        <f t="shared" ca="1" si="1"/>
        <v>39840.696604873636</v>
      </c>
      <c r="G15" s="987">
        <f t="shared" si="1"/>
        <v>32406.416846838943</v>
      </c>
      <c r="H15" s="987">
        <f t="shared" si="1"/>
        <v>7686.6190187344428</v>
      </c>
      <c r="I15" s="987">
        <f t="shared" si="1"/>
        <v>0</v>
      </c>
      <c r="J15" s="987">
        <f t="shared" si="1"/>
        <v>1617.3168857042426</v>
      </c>
      <c r="K15" s="987">
        <f t="shared" si="1"/>
        <v>0</v>
      </c>
      <c r="L15" s="987">
        <f t="shared" ca="1" si="1"/>
        <v>0</v>
      </c>
      <c r="M15" s="987">
        <f t="shared" si="1"/>
        <v>2118.8660553773261</v>
      </c>
      <c r="N15" s="987">
        <f t="shared" ca="1" si="1"/>
        <v>11144.953872332057</v>
      </c>
      <c r="O15" s="987">
        <f t="shared" si="1"/>
        <v>117.25000000000001</v>
      </c>
      <c r="P15" s="987">
        <f t="shared" si="1"/>
        <v>991.4666666666667</v>
      </c>
      <c r="Q15" s="987">
        <f t="shared" ca="1" si="1"/>
        <v>143919.6260091188</v>
      </c>
    </row>
    <row r="17" spans="1:17">
      <c r="A17" s="487" t="s">
        <v>556</v>
      </c>
      <c r="B17" s="786">
        <f ca="1">huishoudens!B10</f>
        <v>0.20374032643381701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3277.1695563517624</v>
      </c>
      <c r="C22" s="477">
        <f t="shared" ref="C22:C32" ca="1" si="3">C4*$C$17</f>
        <v>0</v>
      </c>
      <c r="D22" s="477">
        <f t="shared" ref="D22:D32" si="4">D4*$D$17</f>
        <v>2967.0126781702002</v>
      </c>
      <c r="E22" s="477">
        <f t="shared" ref="E22:E32" si="5">E4*$E$17</f>
        <v>997.27382116533443</v>
      </c>
      <c r="F22" s="477">
        <f t="shared" ref="F22:F32" si="6">F4*$F$17</f>
        <v>9457.2344600320939</v>
      </c>
      <c r="G22" s="477">
        <f t="shared" ref="G22:G32" si="7">G4*$G$17</f>
        <v>0</v>
      </c>
      <c r="H22" s="477">
        <f t="shared" ref="H22:H32" si="8">H4*$H$17</f>
        <v>0</v>
      </c>
      <c r="I22" s="477">
        <f t="shared" ref="I22:I32" si="9">I4*$I$17</f>
        <v>0</v>
      </c>
      <c r="J22" s="477">
        <f t="shared" ref="J22:J32" si="10">J4*$J$17</f>
        <v>534.23626595062751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17232.926781670019</v>
      </c>
    </row>
    <row r="23" spans="1:17">
      <c r="A23" s="476" t="s">
        <v>156</v>
      </c>
      <c r="B23" s="477">
        <f t="shared" ca="1" si="2"/>
        <v>1044.9012950922422</v>
      </c>
      <c r="C23" s="477">
        <f t="shared" ca="1" si="3"/>
        <v>0</v>
      </c>
      <c r="D23" s="477">
        <f t="shared" ca="1" si="4"/>
        <v>838.53662506240028</v>
      </c>
      <c r="E23" s="477">
        <f t="shared" si="5"/>
        <v>16.765867712901954</v>
      </c>
      <c r="F23" s="477">
        <f t="shared" ca="1" si="6"/>
        <v>247.06888755156706</v>
      </c>
      <c r="G23" s="477">
        <f t="shared" si="7"/>
        <v>0</v>
      </c>
      <c r="H23" s="477">
        <f t="shared" si="8"/>
        <v>0</v>
      </c>
      <c r="I23" s="477">
        <f t="shared" si="9"/>
        <v>0</v>
      </c>
      <c r="J23" s="477">
        <f t="shared" si="10"/>
        <v>6.2676155238213585E-3</v>
      </c>
      <c r="K23" s="477">
        <f t="shared" si="11"/>
        <v>0</v>
      </c>
      <c r="L23" s="477">
        <f t="shared" ca="1" si="12"/>
        <v>0</v>
      </c>
      <c r="M23" s="477">
        <f t="shared" si="13"/>
        <v>0</v>
      </c>
      <c r="N23" s="477">
        <f t="shared" ca="1" si="14"/>
        <v>0</v>
      </c>
      <c r="O23" s="477">
        <f t="shared" si="15"/>
        <v>0</v>
      </c>
      <c r="P23" s="478">
        <f t="shared" si="16"/>
        <v>0</v>
      </c>
      <c r="Q23" s="476">
        <f t="shared" ref="Q23:Q32" ca="1" si="17">SUM(B23:P23)</f>
        <v>2147.2789430346356</v>
      </c>
    </row>
    <row r="24" spans="1:17">
      <c r="A24" s="476" t="s">
        <v>194</v>
      </c>
      <c r="B24" s="477">
        <f t="shared" ca="1" si="2"/>
        <v>131.67676175319664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131.67676175319664</v>
      </c>
    </row>
    <row r="25" spans="1:17">
      <c r="A25" s="476" t="s">
        <v>112</v>
      </c>
      <c r="B25" s="477">
        <f t="shared" ca="1" si="2"/>
        <v>151.95809254805096</v>
      </c>
      <c r="C25" s="477">
        <f t="shared" ca="1" si="3"/>
        <v>0</v>
      </c>
      <c r="D25" s="477">
        <f t="shared" si="4"/>
        <v>13.069492920000002</v>
      </c>
      <c r="E25" s="477">
        <f t="shared" si="5"/>
        <v>4.9764243988800736</v>
      </c>
      <c r="F25" s="477">
        <f t="shared" si="6"/>
        <v>829.60570417326869</v>
      </c>
      <c r="G25" s="477">
        <f t="shared" si="7"/>
        <v>0</v>
      </c>
      <c r="H25" s="477">
        <f t="shared" si="8"/>
        <v>0</v>
      </c>
      <c r="I25" s="477">
        <f t="shared" si="9"/>
        <v>0</v>
      </c>
      <c r="J25" s="477">
        <f t="shared" si="10"/>
        <v>38.251996985535072</v>
      </c>
      <c r="K25" s="477">
        <f t="shared" si="11"/>
        <v>0</v>
      </c>
      <c r="L25" s="477">
        <f t="shared" si="12"/>
        <v>0</v>
      </c>
      <c r="M25" s="477">
        <f t="shared" si="13"/>
        <v>0</v>
      </c>
      <c r="N25" s="477">
        <f t="shared" si="14"/>
        <v>0</v>
      </c>
      <c r="O25" s="477">
        <f t="shared" si="15"/>
        <v>0</v>
      </c>
      <c r="P25" s="478">
        <f t="shared" si="16"/>
        <v>0</v>
      </c>
      <c r="Q25" s="476">
        <f t="shared" ca="1" si="17"/>
        <v>1037.8617110257348</v>
      </c>
    </row>
    <row r="26" spans="1:17">
      <c r="A26" s="476" t="s">
        <v>635</v>
      </c>
      <c r="B26" s="477">
        <f t="shared" ca="1" si="2"/>
        <v>150.91979985731297</v>
      </c>
      <c r="C26" s="477">
        <f t="shared" ca="1" si="3"/>
        <v>0</v>
      </c>
      <c r="D26" s="477">
        <f t="shared" si="4"/>
        <v>97.234367146400018</v>
      </c>
      <c r="E26" s="477">
        <f t="shared" si="5"/>
        <v>30.652228005670622</v>
      </c>
      <c r="F26" s="477">
        <f t="shared" si="6"/>
        <v>103.55694174433459</v>
      </c>
      <c r="G26" s="477">
        <f t="shared" si="7"/>
        <v>0</v>
      </c>
      <c r="H26" s="477">
        <f t="shared" si="8"/>
        <v>0</v>
      </c>
      <c r="I26" s="477">
        <f t="shared" si="9"/>
        <v>0</v>
      </c>
      <c r="J26" s="477">
        <f t="shared" si="10"/>
        <v>3.5646987615461471E-2</v>
      </c>
      <c r="K26" s="477">
        <f t="shared" si="11"/>
        <v>0</v>
      </c>
      <c r="L26" s="477">
        <f t="shared" si="12"/>
        <v>0</v>
      </c>
      <c r="M26" s="477">
        <f t="shared" si="13"/>
        <v>0</v>
      </c>
      <c r="N26" s="477">
        <f t="shared" si="14"/>
        <v>0</v>
      </c>
      <c r="O26" s="477">
        <f t="shared" si="15"/>
        <v>0</v>
      </c>
      <c r="P26" s="478">
        <f t="shared" si="16"/>
        <v>0</v>
      </c>
      <c r="Q26" s="476">
        <f t="shared" ca="1" si="17"/>
        <v>382.39898374133367</v>
      </c>
    </row>
    <row r="27" spans="1:17" s="482" customFormat="1">
      <c r="A27" s="480" t="s">
        <v>561</v>
      </c>
      <c r="B27" s="780">
        <f t="shared" ca="1" si="2"/>
        <v>3.7569619618157586</v>
      </c>
      <c r="C27" s="481">
        <f t="shared" ca="1" si="3"/>
        <v>0</v>
      </c>
      <c r="D27" s="481">
        <f t="shared" si="4"/>
        <v>13.817216361907546</v>
      </c>
      <c r="E27" s="481">
        <f t="shared" si="5"/>
        <v>20.526882416584495</v>
      </c>
      <c r="F27" s="481">
        <f t="shared" si="6"/>
        <v>0</v>
      </c>
      <c r="G27" s="481">
        <f t="shared" si="7"/>
        <v>8449.079713889023</v>
      </c>
      <c r="H27" s="481">
        <f t="shared" si="8"/>
        <v>1913.9681356648762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10401.148910294207</v>
      </c>
    </row>
    <row r="28" spans="1:17">
      <c r="A28" s="476" t="s">
        <v>551</v>
      </c>
      <c r="B28" s="477">
        <f t="shared" ca="1" si="2"/>
        <v>0</v>
      </c>
      <c r="C28" s="477">
        <f t="shared" ca="1" si="3"/>
        <v>0</v>
      </c>
      <c r="D28" s="477">
        <f t="shared" si="4"/>
        <v>0</v>
      </c>
      <c r="E28" s="477">
        <f t="shared" si="5"/>
        <v>0</v>
      </c>
      <c r="F28" s="477">
        <f t="shared" si="6"/>
        <v>0</v>
      </c>
      <c r="G28" s="477">
        <f t="shared" si="7"/>
        <v>203.43358421697505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203.43358421697505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33.081775218793346</v>
      </c>
      <c r="C32" s="477">
        <f t="shared" ca="1" si="3"/>
        <v>0</v>
      </c>
      <c r="D32" s="477">
        <f t="shared" si="4"/>
        <v>60.678376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93.760151218793339</v>
      </c>
    </row>
    <row r="33" spans="1:17" s="486" customFormat="1">
      <c r="A33" s="1039" t="s">
        <v>555</v>
      </c>
      <c r="B33" s="987">
        <f ca="1">SUM(B22:B32)</f>
        <v>4793.464242783175</v>
      </c>
      <c r="C33" s="987">
        <f t="shared" ref="C33:Q33" ca="1" si="18">SUM(C22:C32)</f>
        <v>0</v>
      </c>
      <c r="D33" s="987">
        <f t="shared" ca="1" si="18"/>
        <v>3990.3487556609075</v>
      </c>
      <c r="E33" s="987">
        <f t="shared" si="18"/>
        <v>1070.1952236993714</v>
      </c>
      <c r="F33" s="987">
        <f t="shared" ca="1" si="18"/>
        <v>10637.465993501264</v>
      </c>
      <c r="G33" s="987">
        <f t="shared" si="18"/>
        <v>8652.5132981059978</v>
      </c>
      <c r="H33" s="987">
        <f t="shared" si="18"/>
        <v>1913.9681356648762</v>
      </c>
      <c r="I33" s="987">
        <f t="shared" si="18"/>
        <v>0</v>
      </c>
      <c r="J33" s="987">
        <f t="shared" si="18"/>
        <v>572.53017753930192</v>
      </c>
      <c r="K33" s="987">
        <f t="shared" si="18"/>
        <v>0</v>
      </c>
      <c r="L33" s="987">
        <f t="shared" ca="1" si="18"/>
        <v>0</v>
      </c>
      <c r="M33" s="987">
        <f t="shared" si="18"/>
        <v>0</v>
      </c>
      <c r="N33" s="987">
        <f t="shared" ca="1" si="18"/>
        <v>0</v>
      </c>
      <c r="O33" s="987">
        <f t="shared" si="18"/>
        <v>0</v>
      </c>
      <c r="P33" s="987">
        <f t="shared" si="18"/>
        <v>0</v>
      </c>
      <c r="Q33" s="987">
        <f t="shared" ca="1" si="18"/>
        <v>31630.485826954893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1837.4384424243174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1837.4384424243174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0.20374032643381701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0.20374032643381701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0.20374032643381701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0.20374032643381701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3485</v>
      </c>
      <c r="C9" s="342">
        <v>3711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2247.33</v>
      </c>
    </row>
    <row r="15" spans="1:6">
      <c r="A15" s="348" t="s">
        <v>184</v>
      </c>
      <c r="B15" s="334">
        <v>19</v>
      </c>
    </row>
    <row r="16" spans="1:6">
      <c r="A16" s="348" t="s">
        <v>6</v>
      </c>
      <c r="B16" s="334">
        <v>801</v>
      </c>
    </row>
    <row r="17" spans="1:6">
      <c r="A17" s="348" t="s">
        <v>7</v>
      </c>
      <c r="B17" s="334">
        <v>613</v>
      </c>
    </row>
    <row r="18" spans="1:6">
      <c r="A18" s="348" t="s">
        <v>8</v>
      </c>
      <c r="B18" s="334">
        <v>919</v>
      </c>
    </row>
    <row r="19" spans="1:6">
      <c r="A19" s="348" t="s">
        <v>9</v>
      </c>
      <c r="B19" s="334">
        <v>786</v>
      </c>
    </row>
    <row r="20" spans="1:6">
      <c r="A20" s="348" t="s">
        <v>10</v>
      </c>
      <c r="B20" s="334">
        <v>723</v>
      </c>
    </row>
    <row r="21" spans="1:6">
      <c r="A21" s="348" t="s">
        <v>11</v>
      </c>
      <c r="B21" s="334">
        <v>324</v>
      </c>
    </row>
    <row r="22" spans="1:6">
      <c r="A22" s="348" t="s">
        <v>12</v>
      </c>
      <c r="B22" s="334">
        <v>569</v>
      </c>
    </row>
    <row r="23" spans="1:6">
      <c r="A23" s="348" t="s">
        <v>13</v>
      </c>
      <c r="B23" s="334">
        <v>0</v>
      </c>
    </row>
    <row r="24" spans="1:6">
      <c r="A24" s="348" t="s">
        <v>14</v>
      </c>
      <c r="B24" s="334">
        <v>0</v>
      </c>
    </row>
    <row r="25" spans="1:6">
      <c r="A25" s="348" t="s">
        <v>15</v>
      </c>
      <c r="B25" s="334">
        <v>68</v>
      </c>
    </row>
    <row r="26" spans="1:6">
      <c r="A26" s="348" t="s">
        <v>16</v>
      </c>
      <c r="B26" s="334">
        <v>102</v>
      </c>
    </row>
    <row r="27" spans="1:6">
      <c r="A27" s="348" t="s">
        <v>17</v>
      </c>
      <c r="B27" s="334">
        <v>0</v>
      </c>
    </row>
    <row r="28" spans="1:6" s="356" customFormat="1">
      <c r="A28" s="355" t="s">
        <v>18</v>
      </c>
      <c r="B28" s="355">
        <v>14671</v>
      </c>
    </row>
    <row r="29" spans="1:6">
      <c r="A29" s="355" t="s">
        <v>744</v>
      </c>
      <c r="B29" s="355">
        <v>108</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1928</v>
      </c>
    </row>
    <row r="39" spans="1:6">
      <c r="A39" s="348" t="s">
        <v>30</v>
      </c>
      <c r="B39" s="348" t="s">
        <v>31</v>
      </c>
      <c r="C39" s="334">
        <v>1030</v>
      </c>
      <c r="D39" s="334">
        <v>16284015.050000001</v>
      </c>
      <c r="E39" s="334">
        <v>3441</v>
      </c>
      <c r="F39" s="334">
        <v>14317870.25</v>
      </c>
    </row>
    <row r="40" spans="1:6">
      <c r="A40" s="348" t="s">
        <v>30</v>
      </c>
      <c r="B40" s="348" t="s">
        <v>29</v>
      </c>
      <c r="C40" s="334">
        <v>0</v>
      </c>
      <c r="D40" s="334">
        <v>0</v>
      </c>
      <c r="E40" s="334">
        <v>0</v>
      </c>
      <c r="F40" s="334">
        <v>0</v>
      </c>
    </row>
    <row r="41" spans="1:6">
      <c r="A41" s="348" t="s">
        <v>32</v>
      </c>
      <c r="B41" s="348" t="s">
        <v>33</v>
      </c>
      <c r="C41" s="334">
        <v>18</v>
      </c>
      <c r="D41" s="334">
        <v>397548.6</v>
      </c>
      <c r="E41" s="334">
        <v>80</v>
      </c>
      <c r="F41" s="334">
        <v>453831.7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37779.142999999996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136108</v>
      </c>
      <c r="E48" s="334">
        <v>3</v>
      </c>
      <c r="F48" s="334">
        <v>28128</v>
      </c>
    </row>
    <row r="49" spans="1:6">
      <c r="A49" s="348" t="s">
        <v>32</v>
      </c>
      <c r="B49" s="348" t="s">
        <v>40</v>
      </c>
      <c r="C49" s="334">
        <v>0</v>
      </c>
      <c r="D49" s="334">
        <v>0</v>
      </c>
      <c r="E49" s="334">
        <v>0</v>
      </c>
      <c r="F49" s="334">
        <v>0</v>
      </c>
    </row>
    <row r="50" spans="1:6">
      <c r="A50" s="348" t="s">
        <v>32</v>
      </c>
      <c r="B50" s="348" t="s">
        <v>41</v>
      </c>
      <c r="C50" s="334">
        <v>0</v>
      </c>
      <c r="D50" s="334">
        <v>0</v>
      </c>
      <c r="E50" s="334">
        <v>8</v>
      </c>
      <c r="F50" s="334">
        <v>221007</v>
      </c>
    </row>
    <row r="51" spans="1:6">
      <c r="A51" s="348" t="s">
        <v>42</v>
      </c>
      <c r="B51" s="348" t="s">
        <v>43</v>
      </c>
      <c r="C51" s="334">
        <v>3</v>
      </c>
      <c r="D51" s="334">
        <v>71730</v>
      </c>
      <c r="E51" s="334">
        <v>63</v>
      </c>
      <c r="F51" s="334">
        <v>745842</v>
      </c>
    </row>
    <row r="52" spans="1:6">
      <c r="A52" s="348" t="s">
        <v>42</v>
      </c>
      <c r="B52" s="348" t="s">
        <v>29</v>
      </c>
      <c r="C52" s="334">
        <v>0</v>
      </c>
      <c r="D52" s="334">
        <v>0</v>
      </c>
      <c r="E52" s="334">
        <v>0</v>
      </c>
      <c r="F52" s="334">
        <v>0</v>
      </c>
    </row>
    <row r="53" spans="1:6">
      <c r="A53" s="348" t="s">
        <v>44</v>
      </c>
      <c r="B53" s="348" t="s">
        <v>45</v>
      </c>
      <c r="C53" s="334">
        <v>14</v>
      </c>
      <c r="D53" s="334">
        <v>300388</v>
      </c>
      <c r="E53" s="334">
        <v>38</v>
      </c>
      <c r="F53" s="334">
        <v>162372.25</v>
      </c>
    </row>
    <row r="54" spans="1:6">
      <c r="A54" s="348" t="s">
        <v>46</v>
      </c>
      <c r="B54" s="348" t="s">
        <v>47</v>
      </c>
      <c r="C54" s="334">
        <v>0</v>
      </c>
      <c r="D54" s="334">
        <v>0</v>
      </c>
      <c r="E54" s="334">
        <v>1</v>
      </c>
      <c r="F54" s="334">
        <v>646297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181943</v>
      </c>
      <c r="E57" s="334">
        <v>43</v>
      </c>
      <c r="F57" s="334">
        <v>815676</v>
      </c>
    </row>
    <row r="58" spans="1:6">
      <c r="A58" s="348" t="s">
        <v>49</v>
      </c>
      <c r="B58" s="348" t="s">
        <v>51</v>
      </c>
      <c r="C58" s="334">
        <v>7</v>
      </c>
      <c r="D58" s="334">
        <v>574752</v>
      </c>
      <c r="E58" s="334">
        <v>22</v>
      </c>
      <c r="F58" s="334">
        <v>627401.94299999997</v>
      </c>
    </row>
    <row r="59" spans="1:6">
      <c r="A59" s="348" t="s">
        <v>49</v>
      </c>
      <c r="B59" s="348" t="s">
        <v>52</v>
      </c>
      <c r="C59" s="334">
        <v>26</v>
      </c>
      <c r="D59" s="334">
        <v>620278</v>
      </c>
      <c r="E59" s="334">
        <v>91</v>
      </c>
      <c r="F59" s="334">
        <v>1802352</v>
      </c>
    </row>
    <row r="60" spans="1:6">
      <c r="A60" s="348" t="s">
        <v>49</v>
      </c>
      <c r="B60" s="348" t="s">
        <v>53</v>
      </c>
      <c r="C60" s="334">
        <v>11</v>
      </c>
      <c r="D60" s="334">
        <v>398248</v>
      </c>
      <c r="E60" s="334">
        <v>33</v>
      </c>
      <c r="F60" s="334">
        <v>502000</v>
      </c>
    </row>
    <row r="61" spans="1:6">
      <c r="A61" s="348" t="s">
        <v>49</v>
      </c>
      <c r="B61" s="348" t="s">
        <v>54</v>
      </c>
      <c r="C61" s="334">
        <v>45</v>
      </c>
      <c r="D61" s="334">
        <v>2826964.6</v>
      </c>
      <c r="E61" s="334">
        <v>142</v>
      </c>
      <c r="F61" s="334">
        <v>1362690.4650000001</v>
      </c>
    </row>
    <row r="62" spans="1:6">
      <c r="A62" s="348" t="s">
        <v>49</v>
      </c>
      <c r="B62" s="348" t="s">
        <v>55</v>
      </c>
      <c r="C62" s="334">
        <v>0</v>
      </c>
      <c r="D62" s="334">
        <v>0</v>
      </c>
      <c r="E62" s="334">
        <v>3</v>
      </c>
      <c r="F62" s="334">
        <v>18473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0</v>
      </c>
      <c r="E65" s="334">
        <v>2</v>
      </c>
      <c r="F65" s="334">
        <v>8825</v>
      </c>
    </row>
    <row r="66" spans="1:6">
      <c r="A66" s="348" t="s">
        <v>56</v>
      </c>
      <c r="B66" s="348" t="s">
        <v>58</v>
      </c>
      <c r="C66" s="334">
        <v>0</v>
      </c>
      <c r="D66" s="334">
        <v>0</v>
      </c>
      <c r="E66" s="334">
        <v>3</v>
      </c>
      <c r="F66" s="334">
        <v>33230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32611236</v>
      </c>
      <c r="E73" s="475">
        <v>33105397.450773451</v>
      </c>
    </row>
    <row r="74" spans="1:6">
      <c r="A74" s="348" t="s">
        <v>64</v>
      </c>
      <c r="B74" s="348" t="s">
        <v>657</v>
      </c>
      <c r="C74" s="1295" t="s">
        <v>659</v>
      </c>
      <c r="D74" s="475">
        <v>3100387.5</v>
      </c>
      <c r="E74" s="475">
        <v>3065231.4646604173</v>
      </c>
    </row>
    <row r="75" spans="1:6">
      <c r="A75" s="348" t="s">
        <v>65</v>
      </c>
      <c r="B75" s="348" t="s">
        <v>656</v>
      </c>
      <c r="C75" s="1295" t="s">
        <v>660</v>
      </c>
      <c r="D75" s="475">
        <v>14261660</v>
      </c>
      <c r="E75" s="475">
        <v>14633176.776915306</v>
      </c>
    </row>
    <row r="76" spans="1:6">
      <c r="A76" s="348" t="s">
        <v>65</v>
      </c>
      <c r="B76" s="348" t="s">
        <v>657</v>
      </c>
      <c r="C76" s="1295" t="s">
        <v>661</v>
      </c>
      <c r="D76" s="475">
        <v>254059.5</v>
      </c>
      <c r="E76" s="475">
        <v>254498.63211766179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218383</v>
      </c>
      <c r="C83" s="475">
        <v>218679.79813487252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1767.1611903335254</v>
      </c>
    </row>
    <row r="92" spans="1:6">
      <c r="A92" s="341" t="s">
        <v>69</v>
      </c>
      <c r="B92" s="342">
        <v>70.277252090792061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168</v>
      </c>
    </row>
    <row r="98" spans="1:6">
      <c r="A98" s="348" t="s">
        <v>72</v>
      </c>
      <c r="B98" s="334">
        <v>2</v>
      </c>
    </row>
    <row r="99" spans="1:6">
      <c r="A99" s="348" t="s">
        <v>73</v>
      </c>
      <c r="B99" s="334">
        <v>105</v>
      </c>
    </row>
    <row r="100" spans="1:6">
      <c r="A100" s="348" t="s">
        <v>74</v>
      </c>
      <c r="B100" s="334">
        <v>325</v>
      </c>
    </row>
    <row r="101" spans="1:6">
      <c r="A101" s="348" t="s">
        <v>75</v>
      </c>
      <c r="B101" s="334">
        <v>72</v>
      </c>
    </row>
    <row r="102" spans="1:6">
      <c r="A102" s="348" t="s">
        <v>76</v>
      </c>
      <c r="B102" s="334">
        <v>36</v>
      </c>
    </row>
    <row r="103" spans="1:6">
      <c r="A103" s="348" t="s">
        <v>77</v>
      </c>
      <c r="B103" s="334">
        <v>129</v>
      </c>
    </row>
    <row r="104" spans="1:6">
      <c r="A104" s="348" t="s">
        <v>78</v>
      </c>
      <c r="B104" s="334">
        <v>2144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2</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23527.321893931898</v>
      </c>
      <c r="C3" s="43" t="s">
        <v>170</v>
      </c>
      <c r="D3" s="43"/>
      <c r="E3" s="154"/>
      <c r="F3" s="43"/>
      <c r="G3" s="43"/>
      <c r="H3" s="43"/>
      <c r="I3" s="43"/>
      <c r="J3" s="43"/>
      <c r="K3" s="96"/>
    </row>
    <row r="4" spans="1:11">
      <c r="A4" s="383" t="s">
        <v>171</v>
      </c>
      <c r="B4" s="49">
        <f>IF(ISERROR('SEAP template'!B78+'SEAP template'!C78),0,'SEAP template'!B78+'SEAP template'!C78)</f>
        <v>1837.4384424243174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0.20374032643381701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646.29700000000003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646.29700000000003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0.20374032643381701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131.67676175319664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14317.87025</v>
      </c>
      <c r="C5" s="17">
        <f>IF(ISERROR('Eigen informatie GS &amp; warmtenet'!B57),0,'Eigen informatie GS &amp; warmtenet'!B57)</f>
        <v>0</v>
      </c>
      <c r="D5" s="30">
        <f>(SUM(HH_hh_gas_kWh,HH_rest_gas_kWh)/1000)*0.902</f>
        <v>14688.181575099999</v>
      </c>
      <c r="E5" s="17">
        <f>B46*B57</f>
        <v>4393.2767452217377</v>
      </c>
      <c r="F5" s="17">
        <f>B51*B62</f>
        <v>35420.353782891732</v>
      </c>
      <c r="G5" s="18"/>
      <c r="H5" s="17"/>
      <c r="I5" s="17"/>
      <c r="J5" s="17">
        <f>B50*B61+C50*C61</f>
        <v>1509.1419942108123</v>
      </c>
      <c r="K5" s="17"/>
      <c r="L5" s="17"/>
      <c r="M5" s="17"/>
      <c r="N5" s="17">
        <f>B48*B59+C48*C59</f>
        <v>10266.547646797404</v>
      </c>
      <c r="O5" s="17">
        <f>B69*B70*B71</f>
        <v>114.12333333333335</v>
      </c>
      <c r="P5" s="17">
        <f>B77*B78*B79/1000-B77*B78*B79/1000/B80</f>
        <v>991.4666666666667</v>
      </c>
    </row>
    <row r="6" spans="1:16">
      <c r="A6" s="16" t="s">
        <v>621</v>
      </c>
      <c r="B6" s="788">
        <f>kWh_PV_kleiner_dan_10kW</f>
        <v>1767.1611903335254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16085.031440333525</v>
      </c>
      <c r="C8" s="21">
        <f>C5</f>
        <v>0</v>
      </c>
      <c r="D8" s="21">
        <f>D5</f>
        <v>14688.181575099999</v>
      </c>
      <c r="E8" s="21">
        <f>E5</f>
        <v>4393.2767452217377</v>
      </c>
      <c r="F8" s="21">
        <f>F5</f>
        <v>35420.353782891732</v>
      </c>
      <c r="G8" s="21"/>
      <c r="H8" s="21"/>
      <c r="I8" s="21"/>
      <c r="J8" s="21">
        <f>J5</f>
        <v>1509.1419942108123</v>
      </c>
      <c r="K8" s="21"/>
      <c r="L8" s="21">
        <f>L5</f>
        <v>0</v>
      </c>
      <c r="M8" s="21">
        <f>M5</f>
        <v>0</v>
      </c>
      <c r="N8" s="21">
        <f>N5</f>
        <v>10266.547646797404</v>
      </c>
      <c r="O8" s="21">
        <f>O5</f>
        <v>114.12333333333335</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0.20374032643381701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3277.1695563517624</v>
      </c>
      <c r="C12" s="23">
        <f ca="1">C10*C8</f>
        <v>0</v>
      </c>
      <c r="D12" s="23">
        <f>D8*D10</f>
        <v>2967.0126781702002</v>
      </c>
      <c r="E12" s="23">
        <f>E10*E8</f>
        <v>997.27382116533443</v>
      </c>
      <c r="F12" s="23">
        <f>F10*F8</f>
        <v>9457.2344600320939</v>
      </c>
      <c r="G12" s="23"/>
      <c r="H12" s="23"/>
      <c r="I12" s="23"/>
      <c r="J12" s="23">
        <f>J10*J8</f>
        <v>534.23626595062751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v>
      </c>
      <c r="C18" s="166" t="s">
        <v>111</v>
      </c>
      <c r="D18" s="228"/>
      <c r="E18" s="15"/>
    </row>
    <row r="19" spans="1:7">
      <c r="A19" s="171" t="s">
        <v>72</v>
      </c>
      <c r="B19" s="37">
        <f>aantalw2001_ander</f>
        <v>2</v>
      </c>
      <c r="C19" s="166" t="s">
        <v>111</v>
      </c>
      <c r="D19" s="229"/>
      <c r="E19" s="15"/>
    </row>
    <row r="20" spans="1:7">
      <c r="A20" s="171" t="s">
        <v>73</v>
      </c>
      <c r="B20" s="37">
        <f>aantalw2001_propaan</f>
        <v>105</v>
      </c>
      <c r="C20" s="167">
        <f>IF(ISERROR(B20/SUM($B$20,$B$21,$B$22)*100),0,B20/SUM($B$20,$B$21,$B$22)*100)</f>
        <v>20.916334661354583</v>
      </c>
      <c r="D20" s="229"/>
      <c r="E20" s="15"/>
    </row>
    <row r="21" spans="1:7">
      <c r="A21" s="171" t="s">
        <v>74</v>
      </c>
      <c r="B21" s="37">
        <f>aantalw2001_elektriciteit</f>
        <v>325</v>
      </c>
      <c r="C21" s="167">
        <f>IF(ISERROR(B21/SUM($B$20,$B$21,$B$22)*100),0,B21/SUM($B$20,$B$21,$B$22)*100)</f>
        <v>64.741035856573703</v>
      </c>
      <c r="D21" s="229"/>
      <c r="E21" s="15"/>
    </row>
    <row r="22" spans="1:7">
      <c r="A22" s="171" t="s">
        <v>75</v>
      </c>
      <c r="B22" s="37">
        <f>aantalw2001_hout</f>
        <v>72</v>
      </c>
      <c r="C22" s="167">
        <f>IF(ISERROR(B22/SUM($B$20,$B$21,$B$22)*100),0,B22/SUM($B$20,$B$21,$B$22)*100)</f>
        <v>14.342629482071715</v>
      </c>
      <c r="D22" s="229"/>
      <c r="E22" s="15"/>
    </row>
    <row r="23" spans="1:7">
      <c r="A23" s="171" t="s">
        <v>76</v>
      </c>
      <c r="B23" s="37">
        <f>aantalw2001_niet_gespec</f>
        <v>36</v>
      </c>
      <c r="C23" s="166" t="s">
        <v>111</v>
      </c>
      <c r="D23" s="228"/>
      <c r="E23" s="15"/>
    </row>
    <row r="24" spans="1:7">
      <c r="A24" s="171" t="s">
        <v>77</v>
      </c>
      <c r="B24" s="37">
        <f>aantalw2001_steenkool</f>
        <v>129</v>
      </c>
      <c r="C24" s="166" t="s">
        <v>111</v>
      </c>
      <c r="D24" s="229"/>
      <c r="E24" s="15"/>
    </row>
    <row r="25" spans="1:7">
      <c r="A25" s="171" t="s">
        <v>78</v>
      </c>
      <c r="B25" s="37">
        <f>aantalw2001_stookolie</f>
        <v>2144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3485</v>
      </c>
      <c r="C28" s="36"/>
      <c r="D28" s="228"/>
    </row>
    <row r="29" spans="1:7" s="15" customFormat="1">
      <c r="A29" s="230" t="s">
        <v>794</v>
      </c>
      <c r="B29" s="37">
        <f>SUM(HH_hh_gas_aantal,HH_rest_gas_aantal)</f>
        <v>1030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1030</v>
      </c>
      <c r="C32" s="167">
        <f>IF(ISERROR(B32/SUM($B$32,$B$34,$B$35,$B$36,$B$38,$B$39)*100),0,B32/SUM($B$32,$B$34,$B$35,$B$36,$B$38,$B$39)*100)</f>
        <v>30.002912904165452</v>
      </c>
      <c r="D32" s="233"/>
      <c r="G32" s="15"/>
    </row>
    <row r="33" spans="1:7">
      <c r="A33" s="171" t="s">
        <v>72</v>
      </c>
      <c r="B33" s="34" t="s">
        <v>111</v>
      </c>
      <c r="C33" s="167"/>
      <c r="D33" s="233"/>
      <c r="G33" s="15"/>
    </row>
    <row r="34" spans="1:7">
      <c r="A34" s="171" t="s">
        <v>73</v>
      </c>
      <c r="B34" s="33">
        <f>IF((($B$28-$B$32-$B$39-$B$77-$B$38)*C20/100)&lt;0,0,($B$28-$B$32-$B$39-$B$77-$B$38)*C20/100)</f>
        <v>207.49003984063751</v>
      </c>
      <c r="C34" s="167">
        <f>IF(ISERROR(B34/SUM($B$32,$B$34,$B$35,$B$36,$B$38,$B$39)*100),0,B34/SUM($B$32,$B$34,$B$35,$B$36,$B$38,$B$39)*100)</f>
        <v>6.0439860134179293</v>
      </c>
      <c r="D34" s="233"/>
      <c r="G34" s="15"/>
    </row>
    <row r="35" spans="1:7">
      <c r="A35" s="171" t="s">
        <v>74</v>
      </c>
      <c r="B35" s="33">
        <f>IF((($B$28-$B$32-$B$39-$B$77-$B$38)*C21/100)&lt;0,0,($B$28-$B$32-$B$39-$B$77-$B$38)*C21/100)</f>
        <v>642.23107569721128</v>
      </c>
      <c r="C35" s="167">
        <f>IF(ISERROR(B35/SUM($B$32,$B$34,$B$35,$B$36,$B$38,$B$39)*100),0,B35/SUM($B$32,$B$34,$B$35,$B$36,$B$38,$B$39)*100)</f>
        <v>18.707575755817398</v>
      </c>
      <c r="D35" s="233"/>
      <c r="G35" s="15"/>
    </row>
    <row r="36" spans="1:7">
      <c r="A36" s="171" t="s">
        <v>75</v>
      </c>
      <c r="B36" s="33">
        <f>IF((($B$28-$B$32-$B$39-$B$77-$B$38)*C22/100)&lt;0,0,($B$28-$B$32-$B$39-$B$77-$B$38)*C22/100)</f>
        <v>142.27888446215144</v>
      </c>
      <c r="C36" s="167">
        <f>IF(ISERROR(B36/SUM($B$32,$B$34,$B$35,$B$36,$B$38,$B$39)*100),0,B36/SUM($B$32,$B$34,$B$35,$B$36,$B$38,$B$39)*100)</f>
        <v>4.1444475520580086</v>
      </c>
      <c r="D36" s="233"/>
      <c r="G36" s="15"/>
    </row>
    <row r="37" spans="1:7">
      <c r="A37" s="171" t="s">
        <v>76</v>
      </c>
      <c r="B37" s="34" t="s">
        <v>111</v>
      </c>
      <c r="C37" s="167"/>
      <c r="D37" s="173"/>
      <c r="G37" s="15"/>
    </row>
    <row r="38" spans="1:7">
      <c r="A38" s="171" t="s">
        <v>77</v>
      </c>
      <c r="B38" s="33">
        <f>IF((B24-(B29-B18)*0.1)&lt;0,0,B24-(B29-B18)*0.1)</f>
        <v>42.8</v>
      </c>
      <c r="C38" s="167">
        <f>IF(ISERROR(B38/SUM($B$32,$B$34,$B$35,$B$36,$B$38,$B$39)*100),0,B38/SUM($B$32,$B$34,$B$35,$B$36,$B$38,$B$39)*100)</f>
        <v>1.2467229828138653</v>
      </c>
      <c r="D38" s="234"/>
      <c r="G38" s="15"/>
    </row>
    <row r="39" spans="1:7">
      <c r="A39" s="171" t="s">
        <v>78</v>
      </c>
      <c r="B39" s="33">
        <f>IF((B25-(B29-B18))&lt;0,0,B25-(B29-B18)*0.9)</f>
        <v>1368.1999999999998</v>
      </c>
      <c r="C39" s="167">
        <f>IF(ISERROR(B39/SUM($B$32,$B$34,$B$35,$B$36,$B$38,$B$39)*100),0,B39/SUM($B$32,$B$34,$B$35,$B$36,$B$38,$B$39)*100)</f>
        <v>39.854354791727346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1030</v>
      </c>
      <c r="C44" s="34" t="s">
        <v>111</v>
      </c>
      <c r="D44" s="174"/>
    </row>
    <row r="45" spans="1:7">
      <c r="A45" s="171" t="s">
        <v>72</v>
      </c>
      <c r="B45" s="33" t="str">
        <f t="shared" si="0"/>
        <v>-</v>
      </c>
      <c r="C45" s="34" t="s">
        <v>111</v>
      </c>
      <c r="D45" s="174"/>
    </row>
    <row r="46" spans="1:7">
      <c r="A46" s="171" t="s">
        <v>73</v>
      </c>
      <c r="B46" s="33">
        <f t="shared" si="0"/>
        <v>207.49003984063751</v>
      </c>
      <c r="C46" s="34" t="s">
        <v>111</v>
      </c>
      <c r="D46" s="174"/>
    </row>
    <row r="47" spans="1:7">
      <c r="A47" s="171" t="s">
        <v>74</v>
      </c>
      <c r="B47" s="33">
        <f t="shared" si="0"/>
        <v>642.23107569721128</v>
      </c>
      <c r="C47" s="34" t="s">
        <v>111</v>
      </c>
      <c r="D47" s="174"/>
    </row>
    <row r="48" spans="1:7">
      <c r="A48" s="171" t="s">
        <v>75</v>
      </c>
      <c r="B48" s="33">
        <f t="shared" si="0"/>
        <v>142.27888446215144</v>
      </c>
      <c r="C48" s="33">
        <f>B48*10</f>
        <v>1422.7888446215143</v>
      </c>
      <c r="D48" s="234"/>
    </row>
    <row r="49" spans="1:6">
      <c r="A49" s="171" t="s">
        <v>76</v>
      </c>
      <c r="B49" s="33" t="str">
        <f t="shared" si="0"/>
        <v>-</v>
      </c>
      <c r="C49" s="34" t="s">
        <v>111</v>
      </c>
      <c r="D49" s="234"/>
    </row>
    <row r="50" spans="1:6">
      <c r="A50" s="171" t="s">
        <v>77</v>
      </c>
      <c r="B50" s="33">
        <f t="shared" si="0"/>
        <v>42.8</v>
      </c>
      <c r="C50" s="33">
        <f>B50*2</f>
        <v>85.6</v>
      </c>
      <c r="D50" s="234"/>
    </row>
    <row r="51" spans="1:6">
      <c r="A51" s="171" t="s">
        <v>78</v>
      </c>
      <c r="B51" s="33">
        <f t="shared" si="0"/>
        <v>1368.1999999999998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5128.5934080000006</v>
      </c>
      <c r="C5" s="17">
        <f>IF(ISERROR('Eigen informatie GS &amp; warmtenet'!B58),0,'Eigen informatie GS &amp; warmtenet'!B58)</f>
        <v>0</v>
      </c>
      <c r="D5" s="30">
        <f>SUM(D6:D12)</f>
        <v>4151.1714112000009</v>
      </c>
      <c r="E5" s="17">
        <f>SUM(E6:E12)</f>
        <v>73.858448074457939</v>
      </c>
      <c r="F5" s="17">
        <f>SUM(F6:F12)</f>
        <v>925.35163876991408</v>
      </c>
      <c r="G5" s="18"/>
      <c r="H5" s="17"/>
      <c r="I5" s="17"/>
      <c r="J5" s="17">
        <f>SUM(J6:J12)</f>
        <v>1.770512859836542E-2</v>
      </c>
      <c r="K5" s="17"/>
      <c r="L5" s="17"/>
      <c r="M5" s="17"/>
      <c r="N5" s="17">
        <f>SUM(N6:N12)</f>
        <v>706.35299565232333</v>
      </c>
      <c r="O5" s="17">
        <f>B38*B39*B40</f>
        <v>3.1266666666666669</v>
      </c>
      <c r="P5" s="17">
        <f>B46*B47*B48/1000-B46*B47*B48/1000/B49</f>
        <v>0</v>
      </c>
      <c r="R5" s="32"/>
    </row>
    <row r="6" spans="1:18">
      <c r="A6" s="32" t="s">
        <v>54</v>
      </c>
      <c r="B6" s="37">
        <f>B26</f>
        <v>1362.6904650000001</v>
      </c>
      <c r="C6" s="33"/>
      <c r="D6" s="37">
        <f>IF(ISERROR(TER_kantoor_gas_kWh/1000),0,TER_kantoor_gas_kWh/1000)*0.902</f>
        <v>2549.9220692000004</v>
      </c>
      <c r="E6" s="33">
        <f>$C$26*'E Balans VL '!I12/100/3.6*1000000</f>
        <v>8.5408906108717323E-3</v>
      </c>
      <c r="F6" s="33">
        <f>$C$26*('E Balans VL '!L12+'E Balans VL '!N12)/100/3.6*1000000</f>
        <v>204.77429968634181</v>
      </c>
      <c r="G6" s="34"/>
      <c r="H6" s="33"/>
      <c r="I6" s="33"/>
      <c r="J6" s="33">
        <f>$C$26*('E Balans VL '!D12+'E Balans VL '!E12)/100/3.6*1000000</f>
        <v>0</v>
      </c>
      <c r="K6" s="33"/>
      <c r="L6" s="33"/>
      <c r="M6" s="33"/>
      <c r="N6" s="33">
        <f>$C$26*'E Balans VL '!Y12/100/3.6*1000000</f>
        <v>1.3032113887382391</v>
      </c>
      <c r="O6" s="33"/>
      <c r="P6" s="33"/>
      <c r="R6" s="32"/>
    </row>
    <row r="7" spans="1:18">
      <c r="A7" s="32" t="s">
        <v>53</v>
      </c>
      <c r="B7" s="37">
        <f t="shared" ref="B7:B12" si="0">B27</f>
        <v>502</v>
      </c>
      <c r="C7" s="33"/>
      <c r="D7" s="37">
        <f>IF(ISERROR(TER_horeca_gas_kWh/1000),0,TER_horeca_gas_kWh/1000)*0.902</f>
        <v>359.219696</v>
      </c>
      <c r="E7" s="33">
        <f>$C$27*'E Balans VL '!I9/100/3.6*1000000</f>
        <v>7.1885563827623731</v>
      </c>
      <c r="F7" s="33">
        <f>$C$27*('E Balans VL '!L9+'E Balans VL '!N9)/100/3.6*1000000</f>
        <v>63.569756597857243</v>
      </c>
      <c r="G7" s="34"/>
      <c r="H7" s="33"/>
      <c r="I7" s="33"/>
      <c r="J7" s="33">
        <f>$C$27*('E Balans VL '!D9+'E Balans VL '!E9)/100/3.6*1000000</f>
        <v>0</v>
      </c>
      <c r="K7" s="33"/>
      <c r="L7" s="33"/>
      <c r="M7" s="33"/>
      <c r="N7" s="33">
        <f>$C$27*'E Balans VL '!Y9/100/3.6*1000000</f>
        <v>0.14431393185008629</v>
      </c>
      <c r="O7" s="33"/>
      <c r="P7" s="33"/>
      <c r="R7" s="32"/>
    </row>
    <row r="8" spans="1:18">
      <c r="A8" s="6" t="s">
        <v>52</v>
      </c>
      <c r="B8" s="37">
        <f t="shared" si="0"/>
        <v>1802.3520000000001</v>
      </c>
      <c r="C8" s="33"/>
      <c r="D8" s="37">
        <f>IF(ISERROR(TER_handel_gas_kWh/1000),0,TER_handel_gas_kWh/1000)*0.902</f>
        <v>559.49075600000003</v>
      </c>
      <c r="E8" s="33">
        <f>$C$28*'E Balans VL '!I13/100/3.6*1000000</f>
        <v>65.371084783908771</v>
      </c>
      <c r="F8" s="33">
        <f>$C$28*('E Balans VL '!L13+'E Balans VL '!N13)/100/3.6*1000000</f>
        <v>347.15124517429712</v>
      </c>
      <c r="G8" s="34"/>
      <c r="H8" s="33"/>
      <c r="I8" s="33"/>
      <c r="J8" s="33">
        <f>$C$28*('E Balans VL '!D13+'E Balans VL '!E13)/100/3.6*1000000</f>
        <v>0</v>
      </c>
      <c r="K8" s="33"/>
      <c r="L8" s="33"/>
      <c r="M8" s="33"/>
      <c r="N8" s="33">
        <f>$C$28*'E Balans VL '!Y13/100/3.6*1000000</f>
        <v>2.4966722227000133</v>
      </c>
      <c r="O8" s="33"/>
      <c r="P8" s="33"/>
      <c r="R8" s="32"/>
    </row>
    <row r="9" spans="1:18">
      <c r="A9" s="32" t="s">
        <v>51</v>
      </c>
      <c r="B9" s="37">
        <f t="shared" si="0"/>
        <v>627.40194299999996</v>
      </c>
      <c r="C9" s="33"/>
      <c r="D9" s="37">
        <f>IF(ISERROR(TER_gezond_gas_kWh/1000),0,TER_gezond_gas_kWh/1000)*0.902</f>
        <v>518.42630399999996</v>
      </c>
      <c r="E9" s="33">
        <f>$C$29*'E Balans VL '!I10/100/3.6*1000000</f>
        <v>3.9281556106890485E-2</v>
      </c>
      <c r="F9" s="33">
        <f>$C$29*('E Balans VL '!L10+'E Balans VL '!N10)/100/3.6*1000000</f>
        <v>93.202468889643157</v>
      </c>
      <c r="G9" s="34"/>
      <c r="H9" s="33"/>
      <c r="I9" s="33"/>
      <c r="J9" s="33">
        <f>$C$29*('E Balans VL '!D10+'E Balans VL '!E10)/100/3.6*1000000</f>
        <v>0</v>
      </c>
      <c r="K9" s="33"/>
      <c r="L9" s="33"/>
      <c r="M9" s="33"/>
      <c r="N9" s="33">
        <f>$C$29*'E Balans VL '!Y10/100/3.6*1000000</f>
        <v>9.7047137934366052</v>
      </c>
      <c r="O9" s="33"/>
      <c r="P9" s="33"/>
      <c r="R9" s="32"/>
    </row>
    <row r="10" spans="1:18">
      <c r="A10" s="32" t="s">
        <v>50</v>
      </c>
      <c r="B10" s="37">
        <f t="shared" si="0"/>
        <v>815.67600000000004</v>
      </c>
      <c r="C10" s="33"/>
      <c r="D10" s="37">
        <f>IF(ISERROR(TER_ander_gas_kWh/1000),0,TER_ander_gas_kWh/1000)*0.902</f>
        <v>164.11258600000002</v>
      </c>
      <c r="E10" s="33">
        <f>$C$30*'E Balans VL '!I14/100/3.6*1000000</f>
        <v>0.97225664466479433</v>
      </c>
      <c r="F10" s="33">
        <f>$C$30*('E Balans VL '!L14+'E Balans VL '!N14)/100/3.6*1000000</f>
        <v>213.41710370682017</v>
      </c>
      <c r="G10" s="34"/>
      <c r="H10" s="33"/>
      <c r="I10" s="33"/>
      <c r="J10" s="33">
        <f>$C$30*('E Balans VL '!D14+'E Balans VL '!E14)/100/3.6*1000000</f>
        <v>1.770512859836542E-2</v>
      </c>
      <c r="K10" s="33"/>
      <c r="L10" s="33"/>
      <c r="M10" s="33"/>
      <c r="N10" s="33">
        <f>$C$30*'E Balans VL '!Y14/100/3.6*1000000</f>
        <v>692.65209988922743</v>
      </c>
      <c r="O10" s="33"/>
      <c r="P10" s="33"/>
      <c r="R10" s="32"/>
    </row>
    <row r="11" spans="1:18">
      <c r="A11" s="32" t="s">
        <v>55</v>
      </c>
      <c r="B11" s="37">
        <f t="shared" si="0"/>
        <v>18.472999999999999</v>
      </c>
      <c r="C11" s="33"/>
      <c r="D11" s="37">
        <f>IF(ISERROR(TER_onderwijs_gas_kWh/1000),0,TER_onderwijs_gas_kWh/1000)*0.902</f>
        <v>0</v>
      </c>
      <c r="E11" s="33">
        <f>$C$31*'E Balans VL '!I11/100/3.6*1000000</f>
        <v>0.27872781640423966</v>
      </c>
      <c r="F11" s="33">
        <f>$C$31*('E Balans VL '!L11+'E Balans VL '!N11)/100/3.6*1000000</f>
        <v>3.2367647149545711</v>
      </c>
      <c r="G11" s="34"/>
      <c r="H11" s="33"/>
      <c r="I11" s="33"/>
      <c r="J11" s="33">
        <f>$C$31*('E Balans VL '!D11+'E Balans VL '!E11)/100/3.6*1000000</f>
        <v>0</v>
      </c>
      <c r="K11" s="33"/>
      <c r="L11" s="33"/>
      <c r="M11" s="33"/>
      <c r="N11" s="33">
        <f>$C$31*'E Balans VL '!Y11/100/3.6*1000000</f>
        <v>5.1984426370941077E-2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5128.5934080000006</v>
      </c>
      <c r="C16" s="21">
        <f t="shared" ca="1" si="1"/>
        <v>0</v>
      </c>
      <c r="D16" s="21">
        <f t="shared" ca="1" si="1"/>
        <v>4151.1714112000009</v>
      </c>
      <c r="E16" s="21">
        <f t="shared" si="1"/>
        <v>73.858448074457939</v>
      </c>
      <c r="F16" s="21">
        <f t="shared" ca="1" si="1"/>
        <v>925.35163876991408</v>
      </c>
      <c r="G16" s="21">
        <f t="shared" si="1"/>
        <v>0</v>
      </c>
      <c r="H16" s="21">
        <f t="shared" si="1"/>
        <v>0</v>
      </c>
      <c r="I16" s="21">
        <f t="shared" si="1"/>
        <v>0</v>
      </c>
      <c r="J16" s="21">
        <f t="shared" si="1"/>
        <v>1.770512859836542E-2</v>
      </c>
      <c r="K16" s="21">
        <f t="shared" si="1"/>
        <v>0</v>
      </c>
      <c r="L16" s="21">
        <f t="shared" ca="1" si="1"/>
        <v>0</v>
      </c>
      <c r="M16" s="21">
        <f t="shared" si="1"/>
        <v>0</v>
      </c>
      <c r="N16" s="21">
        <f t="shared" ca="1" si="1"/>
        <v>706.35299565232333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0.20374032643381701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1044.9012950922422</v>
      </c>
      <c r="C20" s="23">
        <f t="shared" ref="C20:P20" ca="1" si="2">C16*C18</f>
        <v>0</v>
      </c>
      <c r="D20" s="23">
        <f t="shared" ca="1" si="2"/>
        <v>838.53662506240028</v>
      </c>
      <c r="E20" s="23">
        <f t="shared" si="2"/>
        <v>16.765867712901954</v>
      </c>
      <c r="F20" s="23">
        <f t="shared" ca="1" si="2"/>
        <v>247.06888755156706</v>
      </c>
      <c r="G20" s="23">
        <f t="shared" si="2"/>
        <v>0</v>
      </c>
      <c r="H20" s="23">
        <f t="shared" si="2"/>
        <v>0</v>
      </c>
      <c r="I20" s="23">
        <f t="shared" si="2"/>
        <v>0</v>
      </c>
      <c r="J20" s="23">
        <f t="shared" si="2"/>
        <v>6.2676155238213585E-3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1362.6904650000001</v>
      </c>
      <c r="C26" s="39">
        <f>IF(ISERROR(B26*3.6/1000000/'E Balans VL '!Z12*100),0,B26*3.6/1000000/'E Balans VL '!Z12*100)</f>
        <v>2.8805117754036234E-2</v>
      </c>
      <c r="D26" s="237" t="s">
        <v>754</v>
      </c>
      <c r="F26" s="6"/>
    </row>
    <row r="27" spans="1:18">
      <c r="A27" s="231" t="s">
        <v>53</v>
      </c>
      <c r="B27" s="33">
        <f>IF(ISERROR(TER_horeca_ele_kWh/1000),0,TER_horeca_ele_kWh/1000)</f>
        <v>502</v>
      </c>
      <c r="C27" s="39">
        <f>IF(ISERROR(B27*3.6/1000000/'E Balans VL '!Z9*100),0,B27*3.6/1000000/'E Balans VL '!Z9*100)</f>
        <v>3.957247289504795E-2</v>
      </c>
      <c r="D27" s="237" t="s">
        <v>754</v>
      </c>
      <c r="F27" s="6"/>
    </row>
    <row r="28" spans="1:18">
      <c r="A28" s="171" t="s">
        <v>52</v>
      </c>
      <c r="B28" s="33">
        <f>IF(ISERROR(TER_handel_ele_kWh/1000),0,TER_handel_ele_kWh/1000)</f>
        <v>1802.3520000000001</v>
      </c>
      <c r="C28" s="39">
        <f>IF(ISERROR(B28*3.6/1000000/'E Balans VL '!Z13*100),0,B28*3.6/1000000/'E Balans VL '!Z13*100)</f>
        <v>5.2311537358108194E-2</v>
      </c>
      <c r="D28" s="237" t="s">
        <v>754</v>
      </c>
      <c r="F28" s="6"/>
    </row>
    <row r="29" spans="1:18">
      <c r="A29" s="231" t="s">
        <v>51</v>
      </c>
      <c r="B29" s="33">
        <f>IF(ISERROR(TER_gezond_ele_kWh/1000),0,TER_gezond_ele_kWh/1000)</f>
        <v>627.40194299999996</v>
      </c>
      <c r="C29" s="39">
        <f>IF(ISERROR(B29*3.6/1000000/'E Balans VL '!Z10*100),0,B29*3.6/1000000/'E Balans VL '!Z10*100)</f>
        <v>6.6075726809742621E-2</v>
      </c>
      <c r="D29" s="237" t="s">
        <v>754</v>
      </c>
      <c r="F29" s="6"/>
    </row>
    <row r="30" spans="1:18">
      <c r="A30" s="231" t="s">
        <v>50</v>
      </c>
      <c r="B30" s="33">
        <f>IF(ISERROR(TER_ander_ele_kWh/1000),0,TER_ander_ele_kWh/1000)</f>
        <v>815.67600000000004</v>
      </c>
      <c r="C30" s="39">
        <f>IF(ISERROR(B30*3.6/1000000/'E Balans VL '!Z14*100),0,B30*3.6/1000000/'E Balans VL '!Z14*100)</f>
        <v>6.0164438923945927E-2</v>
      </c>
      <c r="D30" s="237" t="s">
        <v>754</v>
      </c>
      <c r="F30" s="6"/>
    </row>
    <row r="31" spans="1:18">
      <c r="A31" s="231" t="s">
        <v>55</v>
      </c>
      <c r="B31" s="33">
        <f>IF(ISERROR(TER_onderwijs_ele_kWh/1000),0,TER_onderwijs_ele_kWh/1000)</f>
        <v>18.472999999999999</v>
      </c>
      <c r="C31" s="39">
        <f>IF(ISERROR(B31*3.6/1000000/'E Balans VL '!Z11*100),0,B31*3.6/1000000/'E Balans VL '!Z11*100)</f>
        <v>4.5877112262808469E-3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740.74584300000004</v>
      </c>
      <c r="C5" s="17">
        <f>IF(ISERROR('Eigen informatie GS &amp; warmtenet'!B59),0,'Eigen informatie GS &amp; warmtenet'!B59)</f>
        <v>0</v>
      </c>
      <c r="D5" s="30">
        <f>SUM(D6:D15)</f>
        <v>481.35825320000004</v>
      </c>
      <c r="E5" s="17">
        <f>SUM(E6:E15)</f>
        <v>135.03184143467234</v>
      </c>
      <c r="F5" s="17">
        <f>SUM(F6:F15)</f>
        <v>387.8537143982569</v>
      </c>
      <c r="G5" s="18"/>
      <c r="H5" s="17"/>
      <c r="I5" s="17"/>
      <c r="J5" s="17">
        <f>SUM(J6:J15)</f>
        <v>0.10069770512842224</v>
      </c>
      <c r="K5" s="17"/>
      <c r="L5" s="17"/>
      <c r="M5" s="17"/>
      <c r="N5" s="17">
        <f>SUM(N6:N15)</f>
        <v>172.05322988232896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37.779142999999998</v>
      </c>
      <c r="C8" s="33"/>
      <c r="D8" s="37">
        <f>IF( ISERROR(IND_metaal_Gas_kWH/1000),0,IND_metaal_Gas_kWH/1000)*0.902</f>
        <v>0</v>
      </c>
      <c r="E8" s="33">
        <f>C30*'E Balans VL '!I18/100/3.6*1000000</f>
        <v>0.347342732441694</v>
      </c>
      <c r="F8" s="33">
        <f>C30*'E Balans VL '!L18/100/3.6*1000000+C30*'E Balans VL '!N18/100/3.6*1000000</f>
        <v>3.5424258184097552</v>
      </c>
      <c r="G8" s="34"/>
      <c r="H8" s="33"/>
      <c r="I8" s="33"/>
      <c r="J8" s="40">
        <f>C30*'E Balans VL '!D18/100/3.6*1000000+C30*'E Balans VL '!E18/100/3.6*1000000</f>
        <v>0</v>
      </c>
      <c r="K8" s="33"/>
      <c r="L8" s="33"/>
      <c r="M8" s="33"/>
      <c r="N8" s="33">
        <f>C30*'E Balans VL '!Y18/100/3.6*1000000</f>
        <v>0.53898190755791242</v>
      </c>
      <c r="O8" s="33"/>
      <c r="P8" s="33"/>
      <c r="R8" s="32"/>
    </row>
    <row r="9" spans="1:18">
      <c r="A9" s="6" t="s">
        <v>33</v>
      </c>
      <c r="B9" s="37">
        <f t="shared" si="0"/>
        <v>453.83170000000001</v>
      </c>
      <c r="C9" s="33"/>
      <c r="D9" s="37">
        <f>IF( ISERROR(IND_andere_gas_kWh/1000),0,IND_andere_gas_kWh/1000)*0.902</f>
        <v>358.5888372</v>
      </c>
      <c r="E9" s="33">
        <f>C31*'E Balans VL '!I19/100/3.6*1000000</f>
        <v>132.66384097110955</v>
      </c>
      <c r="F9" s="33">
        <f>C31*'E Balans VL '!L19/100/3.6*1000000+C31*'E Balans VL '!N19/100/3.6*1000000</f>
        <v>364.68812285323378</v>
      </c>
      <c r="G9" s="34"/>
      <c r="H9" s="33"/>
      <c r="I9" s="33"/>
      <c r="J9" s="40">
        <f>C31*'E Balans VL '!D19/100/3.6*1000000+C31*'E Balans VL '!E19/100/3.6*1000000</f>
        <v>0</v>
      </c>
      <c r="K9" s="33"/>
      <c r="L9" s="33"/>
      <c r="M9" s="33"/>
      <c r="N9" s="33">
        <f>C31*'E Balans VL '!Y19/100/3.6*1000000</f>
        <v>149.95303211064183</v>
      </c>
      <c r="O9" s="33"/>
      <c r="P9" s="33"/>
      <c r="R9" s="32"/>
    </row>
    <row r="10" spans="1:18">
      <c r="A10" s="6" t="s">
        <v>41</v>
      </c>
      <c r="B10" s="37">
        <f t="shared" si="0"/>
        <v>221.00700000000001</v>
      </c>
      <c r="C10" s="33"/>
      <c r="D10" s="37">
        <f>IF( ISERROR(IND_voed_gas_kWh/1000),0,IND_voed_gas_kWh/1000)*0.902</f>
        <v>0</v>
      </c>
      <c r="E10" s="33">
        <f>C32*'E Balans VL '!I20/100/3.6*1000000</f>
        <v>0.46754373525412102</v>
      </c>
      <c r="F10" s="33">
        <f>C32*'E Balans VL '!L20/100/3.6*1000000+C32*'E Balans VL '!N20/100/3.6*1000000</f>
        <v>14.051850812030425</v>
      </c>
      <c r="G10" s="34"/>
      <c r="H10" s="33"/>
      <c r="I10" s="33"/>
      <c r="J10" s="40">
        <f>C32*'E Balans VL '!D20/100/3.6*1000000+C32*'E Balans VL '!E20/100/3.6*1000000</f>
        <v>0</v>
      </c>
      <c r="K10" s="33"/>
      <c r="L10" s="33"/>
      <c r="M10" s="33"/>
      <c r="N10" s="33">
        <f>C32*'E Balans VL '!Y20/100/3.6*1000000</f>
        <v>15.251663950366611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28.128</v>
      </c>
      <c r="C15" s="33"/>
      <c r="D15" s="37">
        <f>IF( ISERROR(IND_rest_gas_kWh/1000),0,IND_rest_gas_kWh/1000)*0.902</f>
        <v>122.76941600000001</v>
      </c>
      <c r="E15" s="33">
        <f>C37*'E Balans VL '!I15/100/3.6*1000000</f>
        <v>1.5531139958670037</v>
      </c>
      <c r="F15" s="33">
        <f>C37*'E Balans VL '!L15/100/3.6*1000000+C37*'E Balans VL '!N15/100/3.6*1000000</f>
        <v>5.5713149145829677</v>
      </c>
      <c r="G15" s="34"/>
      <c r="H15" s="33"/>
      <c r="I15" s="33"/>
      <c r="J15" s="40">
        <f>C37*'E Balans VL '!D15/100/3.6*1000000+C37*'E Balans VL '!E15/100/3.6*1000000</f>
        <v>0.10069770512842224</v>
      </c>
      <c r="K15" s="33"/>
      <c r="L15" s="33"/>
      <c r="M15" s="33"/>
      <c r="N15" s="33">
        <f>C37*'E Balans VL '!Y15/100/3.6*1000000</f>
        <v>6.3095519137626095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740.74584300000004</v>
      </c>
      <c r="C18" s="21">
        <f>C5+C16</f>
        <v>0</v>
      </c>
      <c r="D18" s="21">
        <f>MAX((D5+D16),0)</f>
        <v>481.35825320000004</v>
      </c>
      <c r="E18" s="21">
        <f>MAX((E5+E16),0)</f>
        <v>135.03184143467234</v>
      </c>
      <c r="F18" s="21">
        <f>MAX((F5+F16),0)</f>
        <v>387.8537143982569</v>
      </c>
      <c r="G18" s="21"/>
      <c r="H18" s="21"/>
      <c r="I18" s="21"/>
      <c r="J18" s="21">
        <f>MAX((J5+J16),0)</f>
        <v>0.10069770512842224</v>
      </c>
      <c r="K18" s="21"/>
      <c r="L18" s="21">
        <f>MAX((L5+L16),0)</f>
        <v>0</v>
      </c>
      <c r="M18" s="21"/>
      <c r="N18" s="21">
        <f>MAX((N5+N16),0)</f>
        <v>172.05322988232896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0.20374032643381701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150.91979985731297</v>
      </c>
      <c r="C22" s="23">
        <f ca="1">C18*C20</f>
        <v>0</v>
      </c>
      <c r="D22" s="23">
        <f>D18*D20</f>
        <v>97.234367146400018</v>
      </c>
      <c r="E22" s="23">
        <f>E18*E20</f>
        <v>30.652228005670622</v>
      </c>
      <c r="F22" s="23">
        <f>F18*F20</f>
        <v>103.55694174433459</v>
      </c>
      <c r="G22" s="23"/>
      <c r="H22" s="23"/>
      <c r="I22" s="23"/>
      <c r="J22" s="23">
        <f>J18*J20</f>
        <v>3.5646987615461471E-2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37.779142999999998</v>
      </c>
      <c r="C30" s="39">
        <f>IF(ISERROR(B30*3.6/1000000/'E Balans VL '!Z18*100),0,B30*3.6/1000000/'E Balans VL '!Z18*100)</f>
        <v>2.1410409058685537E-3</v>
      </c>
      <c r="D30" s="237" t="s">
        <v>754</v>
      </c>
    </row>
    <row r="31" spans="1:18">
      <c r="A31" s="6" t="s">
        <v>33</v>
      </c>
      <c r="B31" s="37">
        <f>IF( ISERROR(IND_ander_ele_kWh/1000),0,IND_ander_ele_kWh/1000)</f>
        <v>453.83170000000001</v>
      </c>
      <c r="C31" s="39">
        <f>IF(ISERROR(B31*3.6/1000000/'E Balans VL '!Z19*100),0,B31*3.6/1000000/'E Balans VL '!Z19*100)</f>
        <v>2.0583916189691239E-2</v>
      </c>
      <c r="D31" s="237" t="s">
        <v>754</v>
      </c>
    </row>
    <row r="32" spans="1:18">
      <c r="A32" s="171" t="s">
        <v>41</v>
      </c>
      <c r="B32" s="37">
        <f>IF( ISERROR(IND_voed_ele_kWh/1000),0,IND_voed_ele_kWh/1000)</f>
        <v>221.00700000000001</v>
      </c>
      <c r="C32" s="39">
        <f>IF(ISERROR(B32*3.6/1000000/'E Balans VL '!Z20*100),0,B32*3.6/1000000/'E Balans VL '!Z20*100)</f>
        <v>6.8367497970669615E-3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28.128</v>
      </c>
      <c r="C37" s="39">
        <f>IF(ISERROR(B37*3.6/1000000/'E Balans VL '!Z15*100),0,B37*3.6/1000000/'E Balans VL '!Z15*100)</f>
        <v>2.2294894446934531E-4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745.84199999999998</v>
      </c>
      <c r="C5" s="17">
        <f>'Eigen informatie GS &amp; warmtenet'!B60</f>
        <v>0</v>
      </c>
      <c r="D5" s="30">
        <f>IF(ISERROR(SUM(LB_lb_gas_kWh,LB_rest_gas_kWh)/1000),0,SUM(LB_lb_gas_kWh,LB_rest_gas_kWh)/1000)*0.902</f>
        <v>64.700460000000007</v>
      </c>
      <c r="E5" s="17">
        <f>B17*'E Balans VL '!I25/3.6*1000000/100</f>
        <v>21.922574444405608</v>
      </c>
      <c r="F5" s="17">
        <f>B17*('E Balans VL '!L25/3.6*1000000+'E Balans VL '!N25/3.6*1000000)/100</f>
        <v>3107.1374688137403</v>
      </c>
      <c r="G5" s="18"/>
      <c r="H5" s="17"/>
      <c r="I5" s="17"/>
      <c r="J5" s="17">
        <f>('E Balans VL '!D25+'E Balans VL '!E25)/3.6*1000000*landbouw!B17/100</f>
        <v>108.0564886597036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745.84199999999998</v>
      </c>
      <c r="C8" s="21">
        <f>C5+C6</f>
        <v>0</v>
      </c>
      <c r="D8" s="21">
        <f>MAX((D5+D6),0)</f>
        <v>64.700460000000007</v>
      </c>
      <c r="E8" s="21">
        <f>MAX((E5+E6),0)</f>
        <v>21.922574444405608</v>
      </c>
      <c r="F8" s="21">
        <f>MAX((F5+F6),0)</f>
        <v>3107.1374688137403</v>
      </c>
      <c r="G8" s="21"/>
      <c r="H8" s="21"/>
      <c r="I8" s="21"/>
      <c r="J8" s="21">
        <f>MAX((J5+J6),0)</f>
        <v>108.0564886597036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0.20374032643381701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151.95809254805096</v>
      </c>
      <c r="C12" s="23">
        <f ca="1">C8*C10</f>
        <v>0</v>
      </c>
      <c r="D12" s="23">
        <f>D8*D10</f>
        <v>13.069492920000002</v>
      </c>
      <c r="E12" s="23">
        <f>E8*E10</f>
        <v>4.9764243988800736</v>
      </c>
      <c r="F12" s="23">
        <f>F8*F10</f>
        <v>829.60570417326869</v>
      </c>
      <c r="G12" s="23"/>
      <c r="H12" s="23"/>
      <c r="I12" s="23"/>
      <c r="J12" s="23">
        <f>J8*J10</f>
        <v>38.251996985535072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0.10583731980791204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283.078485053912</v>
      </c>
      <c r="C26" s="247">
        <f>B26*'GWP N2O_CH4'!B5</f>
        <v>5944.6481861321517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43.881091087462131</v>
      </c>
      <c r="C27" s="247">
        <f>B27*'GWP N2O_CH4'!B5</f>
        <v>921.50291283670481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3.5090796718799369</v>
      </c>
      <c r="C28" s="247">
        <f>B28*'GWP N2O_CH4'!B4</f>
        <v>1087.8146982827805</v>
      </c>
      <c r="D28" s="50"/>
    </row>
    <row r="29" spans="1:4">
      <c r="A29" s="41" t="s">
        <v>277</v>
      </c>
      <c r="B29" s="247">
        <f>B34*'ha_N2O bodem landbouw'!B4</f>
        <v>14.621669204465311</v>
      </c>
      <c r="C29" s="247">
        <f>B29*'GWP N2O_CH4'!B4</f>
        <v>4532.7174533842463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3.3366145239452677E-3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6.6383829354127466E-5</v>
      </c>
      <c r="C5" s="463" t="s">
        <v>211</v>
      </c>
      <c r="D5" s="448">
        <f>SUM(D6:D11)</f>
        <v>2.462474203112236E-4</v>
      </c>
      <c r="E5" s="448">
        <f>SUM(E6:E11)</f>
        <v>3.2553646123217699E-4</v>
      </c>
      <c r="F5" s="461" t="s">
        <v>211</v>
      </c>
      <c r="G5" s="448">
        <f>SUM(G6:G11)</f>
        <v>0.11392017591760481</v>
      </c>
      <c r="H5" s="448">
        <f>SUM(H6:H11)</f>
        <v>2.7671828467443996E-2</v>
      </c>
      <c r="I5" s="463" t="s">
        <v>211</v>
      </c>
      <c r="J5" s="463" t="s">
        <v>211</v>
      </c>
      <c r="K5" s="463" t="s">
        <v>211</v>
      </c>
      <c r="L5" s="463" t="s">
        <v>211</v>
      </c>
      <c r="M5" s="448">
        <f>SUM(M6:M11)</f>
        <v>7.4721317834874406E-3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4.6185725875592969E-5</v>
      </c>
      <c r="C6" s="449"/>
      <c r="D6" s="892">
        <f>vkm_2011_GW_PW*SUMIFS(TableVerdeelsleutelVkm[CNG],TableVerdeelsleutelVkm[Voertuigtype],"Lichte voertuigen")*SUMIFS(TableECFTransport[EnergieConsumptieFactor (PJ per km)],TableECFTransport[Index],CONCATENATE($A6,"_CNG_CNG"))</f>
        <v>1.3853066943133794E-4</v>
      </c>
      <c r="E6" s="892">
        <f>vkm_2011_GW_PW*SUMIFS(TableVerdeelsleutelVkm[LPG],TableVerdeelsleutelVkm[Voertuigtype],"Lichte voertuigen")*SUMIFS(TableECFTransport[EnergieConsumptieFactor (PJ per km)],TableECFTransport[Index],CONCATENATE($A6,"_LPG_LPG"))</f>
        <v>1.892527933932063E-4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4.89320968885937E-2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1.5756269639706638E-2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3.323640804940992E-3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2.90941884905336E-2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8.867317455000538E-6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1.7001662171664273E-3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2.019810347853449E-5</v>
      </c>
      <c r="C8" s="449"/>
      <c r="D8" s="451">
        <f>vkm_2011_NGW_PW*SUMIFS(TableVerdeelsleutelVkm[CNG],TableVerdeelsleutelVkm[Voertuigtype],"Lichte voertuigen")*SUMIFS(TableECFTransport[EnergieConsumptieFactor (PJ per km)],TableECFTransport[Index],CONCATENATE($A8,"_CNG_CNG"))</f>
        <v>1.0771675087988568E-4</v>
      </c>
      <c r="E8" s="451">
        <f>vkm_2011_NGW_PW*SUMIFS(TableVerdeelsleutelVkm[LPG],TableVerdeelsleutelVkm[Voertuigtype],"Lichte voertuigen")*SUMIFS(TableECFTransport[EnergieConsumptieFactor (PJ per km)],TableECFTransport[Index],CONCATENATE($A8,"_LPG_LPG"))</f>
        <v>1.3628366783897071E-4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3.2836884592584381E-2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1.1905814382749106E-2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2.2696852573941407E-3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3.0570059458931245E-3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8.7712753324997495E-7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1.7863950398588086E-4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18.439952598368738</v>
      </c>
      <c r="C14" s="21"/>
      <c r="D14" s="21">
        <f t="shared" ref="D14:M14" si="0">((D5)*10^9/3600)+D12</f>
        <v>68.402061197562105</v>
      </c>
      <c r="E14" s="21">
        <f t="shared" si="0"/>
        <v>90.426794786715831</v>
      </c>
      <c r="F14" s="21"/>
      <c r="G14" s="21">
        <f t="shared" si="0"/>
        <v>31644.493310445778</v>
      </c>
      <c r="H14" s="21">
        <f t="shared" si="0"/>
        <v>7686.6190187344428</v>
      </c>
      <c r="I14" s="21"/>
      <c r="J14" s="21"/>
      <c r="K14" s="21"/>
      <c r="L14" s="21"/>
      <c r="M14" s="21">
        <f t="shared" si="0"/>
        <v>2075.5921620798449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0.20374032643381701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3.7569619618157586</v>
      </c>
      <c r="C18" s="23"/>
      <c r="D18" s="23">
        <f t="shared" ref="D18:M18" si="1">D14*D16</f>
        <v>13.817216361907546</v>
      </c>
      <c r="E18" s="23">
        <f t="shared" si="1"/>
        <v>20.526882416584495</v>
      </c>
      <c r="F18" s="23"/>
      <c r="G18" s="23">
        <f t="shared" si="1"/>
        <v>8449.079713889023</v>
      </c>
      <c r="H18" s="23">
        <f t="shared" si="1"/>
        <v>1913.9681356648762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2.7429247310153935E-3</v>
      </c>
      <c r="H50" s="321">
        <f t="shared" si="2"/>
        <v>0</v>
      </c>
      <c r="I50" s="321">
        <f t="shared" si="2"/>
        <v>0</v>
      </c>
      <c r="J50" s="321">
        <f t="shared" si="2"/>
        <v>0</v>
      </c>
      <c r="K50" s="321">
        <f t="shared" si="2"/>
        <v>0</v>
      </c>
      <c r="L50" s="321">
        <f t="shared" si="2"/>
        <v>0</v>
      </c>
      <c r="M50" s="321">
        <f t="shared" si="2"/>
        <v>1.5578601587093216E-4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2.7429247310153935E-3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1.5578601587093216E-4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761.92353639316491</v>
      </c>
      <c r="H54" s="21">
        <f t="shared" si="3"/>
        <v>0</v>
      </c>
      <c r="I54" s="21">
        <f t="shared" si="3"/>
        <v>0</v>
      </c>
      <c r="J54" s="21">
        <f t="shared" si="3"/>
        <v>0</v>
      </c>
      <c r="K54" s="21">
        <f t="shared" si="3"/>
        <v>0</v>
      </c>
      <c r="L54" s="21">
        <f t="shared" si="3"/>
        <v>0</v>
      </c>
      <c r="M54" s="21">
        <f t="shared" si="3"/>
        <v>43.273893297481159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0.20374032643381701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203.43358421697505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1837.4384424243174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1837.4384424243174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2019-08-12T08:32:08Z</dcterms:modified>
</cp:coreProperties>
</file>