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<sst xmlns="http://schemas.openxmlformats.org/spreadsheetml/2006/main" count="2390" uniqueCount="886">
  <si>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</si>
  <si>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</si>
  <si>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</si>
  <si>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</si>
  <si>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</si>
  <si>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</si>
  <si>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</si>
  <si>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</si>
  <si>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</si>
  <si>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</si>
  <si>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</si>
  <si>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</si>
  <si>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</si>
  <si>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</si>
  <si>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</si>
  <si>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</si>
  <si>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</si>
  <si>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</si>
  <si>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</si>
  <si>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</si>
  <si>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</si>
  <si>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</si>
  <si>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</si>
  <si>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</si>
  <si>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</si>
  <si>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</si>
  <si>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</si>
  <si>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</si>
  <si>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</si>
  <si>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</si>
  <si>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</si>
  <si>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</si>
  <si>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</si>
  <si>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</si>
  <si>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</si>
  <si>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</si>
  <si>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</si>
  <si>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</si>
  <si>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</si>
  <si>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</si>
  <si>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</si>
  <si>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</si>
  <si>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</si>
  <si>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</si>
  <si>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</si>
  <si>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</si>
  <si>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</si>
  <si>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</si>
  <si>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</si>
  <si>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</si>
  <si>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</si>
  <si>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</si>
  <si>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</si>
  <si>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</si>
  <si>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</si>
  <si>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</si>
  <si>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</si>
  <si>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</si>
  <si>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</si>
  <si>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</si>
  <si>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</si>
  <si>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</si>
  <si>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</si>
  <si>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</si>
  <si>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</si>
  <si>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</si>
  <si>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</si>
  <si>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</si>
  <si>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</si>
  <si>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</si>
  <si>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</si>
  <si>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</si>
  <si>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</si>
  <si>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</si>
  <si>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</si>
  <si>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</si>
  <si>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</si>
  <si>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</si>
  <si>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</si>
  <si>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</si>
  <si>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</si>
  <si>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</si>
  <si>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</si>
  <si>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</si>
  <si>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</si>
  <si>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</si>
  <si>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</si>
  <si>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</si>
  <si>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</si>
  <si>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</si>
  <si>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</si>
  <si>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</si>
  <si>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</si>
  <si>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</si>
  <si>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</si>
  <si>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</si>
  <si>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</si>
  <si>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</si>
  <si>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</si>
  <si>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</si>
  <si>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</si>
  <si>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</si>
  <si>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</si>
  <si>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</si>
  <si>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</si>
  <si>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</si>
  <si>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</si>
  <si>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</si>
  <si>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</si>
  <si>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</si>
  <si>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</si>
  <si>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</si>
  <si>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</si>
  <si>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</si>
  <si>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</si>
  <si>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</si>
  <si>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</si>
  <si>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</si>
  <si>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</si>
  <si>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</si>
  <si>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</si>
  <si>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</si>
  <si>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</si>
  <si>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</si>
  <si>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</si>
  <si>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</si>
  <si>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</si>
  <si>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</si>
  <si>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</si>
  <si>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</si>
  <si>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</si>
  <si>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</si>
  <si>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</si>
  <si>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</si>
  <si>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</si>
  <si>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</si>
  <si>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</si>
  <si>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</si>
  <si>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</si>
  <si>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</si>
  <si>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</si>
  <si>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</si>
  <si>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</si>
  <si>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</si>
  <si>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</si>
  <si>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</si>
  <si>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</si>
  <si>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</si>
  <si>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</si>
  <si>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</si>
  <si>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</si>
  <si>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</si>
  <si>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</si>
  <si>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</si>
  <si>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</si>
  <si>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</si>
  <si>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</si>
  <si>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</si>
  <si>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</si>
  <si>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</si>
  <si>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</si>
  <si>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</si>
  <si>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</si>
  <si>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</si>
  <si>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</si>
  <si>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</si>
  <si>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</si>
  <si>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</si>
  <si>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</si>
  <si>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</si>
  <si>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</si>
  <si>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</si>
  <si>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</si>
  <si>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</si>
  <si>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</si>
  <si>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</si>
  <si>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</si>
  <si>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</si>
  <si>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</si>
  <si>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</si>
  <si>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</si>
  <si>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</si>
  <si>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</si>
  <si>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</si>
  <si>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</si>
  <si>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</si>
  <si>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</si>
  <si>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</si>
  <si>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</si>
  <si>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</si>
  <si>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</si>
  <si>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</si>
  <si>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</si>
  <si>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</si>
  <si>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</si>
  <si>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</si>
  <si>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</si>
  <si>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</si>
  <si>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</si>
  <si>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</si>
  <si>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</si>
  <si>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</si>
  <si>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</si>
  <si>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</si>
  <si>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</si>
  <si>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</si>
  <si>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</si>
  <si>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</si>
  <si>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</si>
  <si>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</si>
  <si>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</si>
  <si>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</si>
  <si>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</si>
  <si>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</si>
  <si>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</si>
  <si>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</si>
  <si>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</si>
  <si>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</si>
  <si>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</si>
  <si>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</si>
  <si>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</si>
  <si>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</si>
  <si>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</si>
  <si>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</si>
  <si>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</si>
  <si>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</si>
  <si>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</si>
  <si>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</si>
  <si>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</si>
  <si>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</si>
  <si>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</si>
  <si>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</si>
  <si>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</si>
  <si>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</si>
  <si>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</si>
  <si>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</si>
  <si>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</si>
  <si>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</si>
  <si>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</si>
  <si>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</si>
  <si>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</si>
  <si>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</si>
  <si>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</si>
  <si>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</si>
  <si>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</si>
  <si>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</si>
  <si>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</si>
  <si>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</si>
  <si>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</si>
  <si>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</si>
  <si>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</si>
  <si>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</si>
  <si>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</si>
  <si>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</si>
  <si>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</si>
  <si>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</si>
  <si>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</si>
  <si>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</si>
  <si>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</si>
  <si>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</si>
  <si>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</si>
  <si>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</si>
  <si>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</si>
  <si>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</si>
  <si>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</si>
  <si>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</si>
  <si>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</si>
  <si>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</si>
  <si>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</si>
  <si>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</si>
  <si>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</si>
  <si>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</si>
  <si>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</si>
  <si>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</si>
  <si>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</si>
  <si>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</si>
  <si>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</si>
  <si>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</si>
  <si>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</si>
  <si>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</si>
  <si>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</si>
  <si>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</si>
  <si>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</si>
  <si>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</si>
  <si>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</si>
  <si>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</si>
  <si>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</si>
  <si>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</si>
  <si>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</si>
  <si>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</si>
  <si>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</si>
  <si>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</si>
  <si>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</si>
  <si>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</si>
  <si>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</si>
  <si>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</si>
  <si>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</si>
  <si>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</si>
  <si>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</si>
  <si>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</si>
  <si>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</si>
  <si>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</si>
  <si>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</si>
  <si>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</si>
  <si>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</si>
  <si>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</si>
  <si>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</si>
  <si>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</si>
  <si>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</si>
  <si>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</si>
  <si>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</si>
  <si>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</si>
  <si>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</si>
  <si>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</si>
  <si>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</si>
  <si>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</si>
  <si>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</si>
  <si>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</si>
  <si>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</si>
  <si>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</si>
  <si>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</si>
  <si>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</si>
  <si>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</si>
  <si>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</si>
  <si>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</si>
  <si>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</si>
  <si>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</si>
  <si>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</si>
  <si>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</si>
  <si>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</si>
  <si>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</si>
  <si>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</si>
  <si>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</si>
  <si>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</si>
  <si>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</si>
  <si>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</si>
  <si>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</si>
  <si>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</si>
  <si>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</si>
  <si>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</si>
  <si>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</si>
  <si>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</si>
  <si>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</si>
  <si>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</si>
  <si>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</si>
  <si>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</si>
  <si>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</si>
  <si>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</si>
  <si>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</si>
  <si>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</si>
  <si>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</si>
  <si>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</si>
  <si>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</si>
  <si>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</si>
  <si>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</si>
  <si>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</si>
  <si>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</si>
  <si>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</si>
  <si>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</si>
  <si>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</si>
  <si>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</si>
  <si>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</si>
  <si>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</si>
  <si>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</si>
  <si>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</si>
  <si>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</si>
  <si>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</si>
  <si>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</si>
  <si>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</si>
  <si>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</si>
  <si>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</si>
  <si>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</si>
  <si>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</si>
  <si>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</si>
  <si>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</si>
  <si>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</si>
  <si>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</si>
  <si>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</si>
  <si>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</si>
  <si>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</si>
  <si>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</si>
  <si>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</si>
  <si>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</si>
  <si>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</si>
  <si>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</si>
  <si>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</si>
  <si>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</si>
  <si>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</si>
  <si>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</si>
  <si>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</si>
  <si>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</si>
  <si>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</si>
  <si>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</si>
  <si>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</si>
  <si>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</si>
  <si>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</si>
  <si>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</si>
  <si>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</si>
  <si>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</si>
  <si>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</si>
  <si>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</si>
  <si>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</si>
  <si>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</si>
  <si>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</si>
  <si>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</si>
  <si>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</si>
  <si>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</si>
  <si>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</si>
  <si>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</si>
  <si>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</si>
  <si>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</si>
  <si>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</si>
  <si>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</si>
  <si>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</si>
  <si>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</si>
  <si>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</si>
  <si>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</si>
  <si>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</si>
  <si>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</si>
  <si>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</si>
  <si>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</si>
  <si>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</si>
  <si>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</si>
  <si>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</si>
  <si>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</si>
  <si>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</si>
  <si>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</si>
  <si>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</si>
  <si>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</si>
  <si>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</si>
  <si>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</si>
  <si>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</si>
  <si>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</si>
  <si>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</si>
  <si>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</si>
  <si>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</si>
  <si>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</si>
  <si>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</si>
  <si>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</si>
  <si>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</si>
  <si>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</si>
  <si>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</si>
  <si>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</si>
  <si>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</si>
  <si>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</si>
  <si>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</si>
  <si>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</si>
  <si>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</si>
  <si>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</si>
  <si>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</si>
  <si>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</si>
  <si>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</si>
  <si>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</si>
  <si>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</si>
  <si>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</si>
  <si>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</si>
  <si>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</si>
  <si>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</si>
  <si>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</si>
  <si>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</si>
  <si>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</si>
  <si>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</si>
  <si>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</si>
  <si>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</si>
  <si>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</si>
  <si>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</si>
  <si>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</si>
  <si>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</si>
  <si>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</si>
  <si>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</si>
  <si>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</si>
  <si>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</si>
  <si>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</si>
  <si>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</si>
  <si>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</si>
  <si>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</si>
  <si>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</si>
  <si>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</si>
  <si>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</si>
  <si>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</si>
  <si>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</si>
  <si>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</si>
  <si>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</si>
  <si>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</si>
  <si>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</si>
  <si>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</si>
  <si>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</si>
  <si>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</si>
  <si>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</si>
  <si>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</si>
  <si>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</si>
  <si>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</si>
  <si>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</si>
  <si>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</si>
  <si>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</si>
  <si>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</si>
  <si>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</si>
  <si>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</si>
  <si>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</si>
  <si>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</si>
  <si>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</si>
  <si>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</si>
  <si>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</si>
  <si>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</si>
  <si>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</si>
  <si>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</si>
  <si>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</si>
  <si>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</si>
  <si>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</si>
  <si>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</si>
  <si>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</si>
  <si>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</si>
  <si>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</si>
  <si>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</si>
  <si>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</si>
  <si>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</si>
  <si>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</si>
  <si>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</si>
  <si>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</si>
  <si>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</si>
  <si>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</si>
  <si>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</si>
  <si>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</si>
  <si>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</si>
  <si>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</si>
  <si>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</si>
  <si>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</si>
  <si>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</si>
  <si>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</si>
  <si>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</si>
  <si>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</si>
  <si>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</si>
  <si>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</si>
  <si>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</si>
  <si>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</si>
  <si>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</si>
  <si>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</si>
  <si>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</si>
  <si>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</si>
  <si>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</si>
  <si>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</si>
  <si>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</si>
  <si>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</si>
  <si>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</si>
  <si>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</si>
  <si>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</si>
  <si>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</si>
  <si>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</si>
  <si>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</si>
  <si>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</si>
  <si>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</si>
  <si>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</si>
  <si>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</si>
  <si>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</si>
  <si>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</si>
  <si>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</si>
  <si>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</si>
  <si>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</si>
  <si>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</si>
  <si>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</si>
  <si>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</si>
  <si>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</si>
  <si>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</si>
  <si>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</si>
  <si>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</si>
  <si>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</si>
  <si>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</si>
  <si>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</si>
  <si>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</si>
  <si>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</si>
  <si>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</si>
  <si>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</si>
  <si>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</si>
  <si>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</si>
  <si>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</si>
  <si>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</si>
  <si>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</si>
  <si>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</si>
  <si>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</si>
  <si>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</si>
  <si>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</si>
  <si>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</si>
  <si>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</si>
  <si>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</si>
  <si>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</si>
  <si>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</si>
  <si>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</si>
  <si>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</si>
  <si>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</si>
  <si>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</si>
  <si>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</si>
  <si>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</si>
  <si>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</si>
  <si>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</si>
  <si>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</si>
  <si>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</si>
  <si>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</si>
  <si>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</si>
  <si>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</si>
  <si>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</si>
  <si>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</si>
  <si>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</si>
  <si>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</si>
  <si>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</si>
  <si>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</si>
  <si>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</si>
  <si>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</si>
  <si>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</si>
  <si>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</si>
  <si>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</si>
  <si>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</si>
  <si>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</si>
  <si>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</si>
  <si>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</si>
  <si>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</si>
  <si>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</si>
  <si>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</si>
  <si>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</si>
  <si>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</si>
  <si>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</si>
  <si>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</si>
  <si>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</si>
  <si>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</si>
  <si>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</si>
  <si>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</si>
  <si>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</si>
  <si>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</si>
  <si>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</si>
  <si>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</si>
  <si>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</si>
  <si>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</si>
  <si>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</si>
  <si>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</si>
  <si>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</si>
  <si>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</si>
  <si>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</si>
  <si>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</si>
  <si>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</si>
  <si>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</si>
  <si>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</si>
  <si>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</si>
  <si>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</si>
  <si>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</si>
  <si>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</si>
  <si>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</si>
  <si>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</si>
  <si>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</si>
  <si>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</si>
  <si>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</si>
  <si>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</si>
  <si>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</si>
  <si>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</si>
  <si>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</si>
  <si>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</si>
  <si>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</si>
  <si>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</si>
  <si>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</si>
  <si>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</si>
  <si>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</si>
  <si>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</si>
  <si>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</si>
  <si>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</si>
  <si>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</si>
  <si>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</si>
  <si>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</si>
  <si>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</si>
  <si>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</si>
  <si>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</si>
  <si>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</si>
  <si>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</si>
  <si>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</si>
  <si>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</si>
  <si>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</si>
  <si>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</si>
  <si>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</si>
  <si>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</si>
  <si>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</si>
  <si>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</si>
  <si>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</si>
  <si>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</si>
  <si>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</si>
  <si>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</si>
  <si>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</si>
  <si>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</si>
  <si>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</si>
  <si>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</si>
  <si>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</si>
  <si>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</si>
  <si>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</si>
  <si>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</si>
  <si>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</si>
  <si>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</si>
  <si>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</si>
  <si>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</si>
  <si>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</si>
  <si>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</si>
  <si>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</si>
  <si>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</si>
  <si>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</si>
  <si>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</si>
  <si>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</si>
  <si>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</si>
  <si>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</si>
  <si>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</si>
  <si>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</si>
  <si>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</si>
  <si>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</si>
  <si>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</si>
  <si>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</si>
  <si>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</si>
  <si>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</si>
  <si>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</si>
  <si>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</si>
  <si>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</si>
  <si>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</si>
  <si>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</si>
  <si>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</si>
  <si>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</si>
  <si>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</si>
  <si>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</si>
  <si>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</si>
  <si>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</si>
  <si>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</si>
  <si>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</si>
  <si>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</si>
  <si>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</si>
  <si>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</si>
  <si>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</si>
  <si>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</si>
  <si>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</si>
  <si>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</si>
  <si>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</si>
  <si>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</si>
  <si>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</si>
  <si>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</si>
  <si>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</si>
  <si>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</si>
  <si>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</si>
  <si>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</si>
  <si>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</si>
  <si>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</si>
  <si>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</si>
  <si>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</si>
  <si>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</si>
  <si>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</si>
  <si>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</si>
  <si>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</si>
  <si>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</si>
  <si>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</si>
  <si>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</si>
  <si>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</si>
  <si>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</si>
  <si>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</si>
  <si>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</si>
  <si>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</si>
  <si>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</si>
  <si>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</si>
  <si>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</si>
  <si>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</si>
  <si>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</si>
  <si>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</si>
  <si>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</si>
  <si>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</si>
  <si>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</si>
  <si>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</si>
  <si>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</si>
  <si>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</si>
  <si>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</si>
  <si>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</si>
  <si>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</si>
  <si>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</si>
  <si>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</si>
  <si>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</si>
  <si>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</si>
  <si>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</si>
  <si>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</si>
  <si>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</si>
  <si>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</si>
  <si>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</si>
  <si>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</si>
  <si>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</si>
  <si>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</si>
  <si>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</si>
  <si>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</si>
  <si>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</si>
  <si>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</si>
  <si>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</si>
  <si>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</si>
  <si>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</si>
  <si>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</si>
  <si>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</si>
  <si>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</si>
  <si>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</si>
  <si>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</si>
  <si>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</si>
  <si>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</si>
  <si>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</si>
  <si>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</si>
  <si>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</si>
  <si>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</si>
  <si>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</si>
  <si>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</si>
  <si>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</si>
  <si>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</si>
  <si>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</si>
  <si>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</si>
  <si>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</si>
  <si>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</si>
  <si>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</si>
  <si>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</si>
  <si>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</si>
  <si>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</si>
  <si>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</si>
  <si>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</si>
  <si>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</si>
  <si>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</si>
  <si>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</si>
  <si>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</si>
  <si>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</si>
  <si>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</si>
  <si>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</si>
  <si>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</si>
  <si>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</si>
  <si>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</si>
  <si>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</si>
  <si>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</si>
  <si>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</si>
  <si>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</si>
  <si>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</si>
  <si>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</si>
  <si>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</si>
  <si>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</si>
  <si>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</si>
  <si>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</si>
  <si>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</si>
  <si>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</si>
  <si>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</si>
  <si>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</si>
  <si>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</si>
  <si>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</si>
  <si>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</si>
  <si>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</si>
  <si>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</si>
  <si>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</si>
  <si>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</si>
  <si>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</si>
  <si>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</si>
  <si>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</si>
  <si>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</si>
  <si>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</si>
  <si>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</si>
  <si>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</si>
  <si>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</si>
  <si>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</si>
  <si>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</si>
  <si>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</si>
  <si>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</si>
  <si>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</si>
  <si>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</si>
  <si>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</si>
  <si>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</si>
  <si>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</si>
  <si>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</si>
  <si>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</si>
  <si>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</si>
  <si>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</si>
  <si>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</si>
  <si>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</si>
  <si>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</si>
  <si>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</si>
  <si>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</si>
  <si>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</si>
  <si>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</si>
  <si>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23016</t>
  </si>
  <si>
    <t>DILBEEK</t>
  </si>
  <si>
    <t>Eandis (januari 2018); Infrax (juni 2018)</t>
  </si>
  <si>
    <t>MOW (september 2017)</t>
  </si>
  <si>
    <t>referentietaak LNE (2017); Jaarverslag De Lijn (2016)</t>
  </si>
  <si>
    <t>VEA (april 2018)</t>
  </si>
  <si>
    <t>VEA (januari 2017)</t>
  </si>
  <si>
    <t>VEA (juni 2018)</t>
  </si>
  <si>
    <t>WKK-0666 Johan Du Bois</t>
  </si>
  <si>
    <t>interne verbrandingsmotor</t>
  </si>
  <si>
    <t>WKK interne verbrandinsgmotor (gas)</t>
  </si>
  <si>
    <t>Jozef Mertensstraat 63 , 1702 Groot-Bijgaarden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</si>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</sst>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329426.00285934709</c:v>
                </c:pt>
                <c:pt idx="1">
                  <c:v>136525.4726598789</c:v>
                </c:pt>
                <c:pt idx="2">
                  <c:v>2017.0909999999999</c:v>
                </c:pt>
                <c:pt idx="3">
                  <c:v>5418.6527167166287</c:v>
                </c:pt>
                <c:pt idx="4">
                  <c:v>115030.87677835346</c:v>
                </c:pt>
                <c:pt idx="5">
                  <c:v>648720.19936813065</c:v>
                </c:pt>
                <c:pt idx="6">
                  <c:v>7640.8160063019131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329426.00285934709</c:v>
                </c:pt>
                <c:pt idx="1">
                  <c:v>136525.4726598789</c:v>
                </c:pt>
                <c:pt idx="2">
                  <c:v>2017.0909999999999</c:v>
                </c:pt>
                <c:pt idx="3">
                  <c:v>5418.6527167166287</c:v>
                </c:pt>
                <c:pt idx="4">
                  <c:v>115030.87677835346</c:v>
                </c:pt>
                <c:pt idx="5">
                  <c:v>648720.19936813065</c:v>
                </c:pt>
                <c:pt idx="6">
                  <c:v>7640.8160063019131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67207.415803526485</c:v>
                </c:pt>
                <c:pt idx="2">
                  <c:v>27802.33439362084</c:v>
                </c:pt>
                <c:pt idx="3">
                  <c:v>429.31641043054532</c:v>
                </c:pt>
                <c:pt idx="4">
                  <c:v>1372.9528912597521</c:v>
                </c:pt>
                <c:pt idx="5">
                  <c:v>22831.936026483621</c:v>
                </c:pt>
                <c:pt idx="6">
                  <c:v>162295.25350909814</c:v>
                </c:pt>
                <c:pt idx="7">
                  <c:v>1930.4564684236827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67207.415803526485</c:v>
                </c:pt>
                <c:pt idx="2">
                  <c:v>27802.33439362084</c:v>
                </c:pt>
                <c:pt idx="3">
                  <c:v>429.31641043054532</c:v>
                </c:pt>
                <c:pt idx="4">
                  <c:v>1372.9528912597521</c:v>
                </c:pt>
                <c:pt idx="5">
                  <c:v>22831.936026483621</c:v>
                </c:pt>
                <c:pt idx="6">
                  <c:v>162295.25350909814</c:v>
                </c:pt>
                <c:pt idx="7">
                  <c:v>1930.4564684236827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23016</v>
      </c>
      <c r="B6" s="415"/>
      <c r="C6" s="416"/>
    </row>
    <row r="7" spans="1:7" s="413" customFormat="1" ht="15.75" customHeight="1">
      <c r="A7" s="417" t="str">
        <f>txtMunicipality</f>
        <v>DILBEEK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0.21283938624015741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0.21283938624015741</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23016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16829</v>
      </c>
      <c r="C9" s="342">
        <v>17167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1255</v>
      </c>
    </row>
    <row r="15" spans="1:6">
      <c r="A15" s="348" t="s">
        <v>184</v>
      </c>
      <c r="B15" s="334">
        <v>2</v>
      </c>
    </row>
    <row r="16" spans="1:6">
      <c r="A16" s="348" t="s">
        <v>6</v>
      </c>
      <c r="B16" s="334">
        <v>15</v>
      </c>
    </row>
    <row r="17" spans="1:6">
      <c r="A17" s="348" t="s">
        <v>7</v>
      </c>
      <c r="B17" s="334">
        <v>345</v>
      </c>
    </row>
    <row r="18" spans="1:6">
      <c r="A18" s="348" t="s">
        <v>8</v>
      </c>
      <c r="B18" s="334">
        <v>319</v>
      </c>
    </row>
    <row r="19" spans="1:6">
      <c r="A19" s="348" t="s">
        <v>9</v>
      </c>
      <c r="B19" s="334">
        <v>318</v>
      </c>
    </row>
    <row r="20" spans="1:6">
      <c r="A20" s="348" t="s">
        <v>10</v>
      </c>
      <c r="B20" s="334">
        <v>270</v>
      </c>
    </row>
    <row r="21" spans="1:6">
      <c r="A21" s="348" t="s">
        <v>11</v>
      </c>
      <c r="B21" s="334">
        <v>0</v>
      </c>
    </row>
    <row r="22" spans="1:6">
      <c r="A22" s="348" t="s">
        <v>12</v>
      </c>
      <c r="B22" s="334">
        <v>3</v>
      </c>
    </row>
    <row r="23" spans="1:6">
      <c r="A23" s="348" t="s">
        <v>13</v>
      </c>
      <c r="B23" s="334">
        <v>0</v>
      </c>
    </row>
    <row r="24" spans="1:6">
      <c r="A24" s="348" t="s">
        <v>14</v>
      </c>
      <c r="B24" s="334">
        <v>2</v>
      </c>
    </row>
    <row r="25" spans="1:6">
      <c r="A25" s="348" t="s">
        <v>15</v>
      </c>
      <c r="B25" s="334">
        <v>12</v>
      </c>
    </row>
    <row r="26" spans="1:6">
      <c r="A26" s="348" t="s">
        <v>16</v>
      </c>
      <c r="B26" s="334">
        <v>34</v>
      </c>
    </row>
    <row r="27" spans="1:6">
      <c r="A27" s="348" t="s">
        <v>17</v>
      </c>
      <c r="B27" s="334">
        <v>8</v>
      </c>
    </row>
    <row r="28" spans="1:6" s="356" customFormat="1">
      <c r="A28" s="355" t="s">
        <v>18</v>
      </c>
      <c r="B28" s="355">
        <v>210</v>
      </c>
    </row>
    <row r="29" spans="1:6">
      <c r="A29" s="355" t="s">
        <v>744</v>
      </c>
      <c r="B29" s="355">
        <v>298</v>
      </c>
      <c r="C29" s="356"/>
      <c r="D29" s="356"/>
      <c r="E29" s="356"/>
      <c r="F29" s="356"/>
    </row>
    <row r="30" spans="1:6">
      <c r="A30" s="341" t="s">
        <v>745</v>
      </c>
      <c r="B30" s="341">
        <v>50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14518.1661495892</v>
      </c>
    </row>
    <row r="36" spans="1:6">
      <c r="A36" s="348" t="s">
        <v>25</v>
      </c>
      <c r="B36" s="348" t="s">
        <v>27</v>
      </c>
      <c r="C36" s="334">
        <v>0</v>
      </c>
      <c r="D36" s="334">
        <v>0</v>
      </c>
      <c r="E36" s="334">
        <v>3</v>
      </c>
      <c r="F36" s="334">
        <v>13282</v>
      </c>
    </row>
    <row r="37" spans="1:6">
      <c r="A37" s="348" t="s">
        <v>25</v>
      </c>
      <c r="B37" s="348" t="s">
        <v>28</v>
      </c>
      <c r="C37" s="334">
        <v>0</v>
      </c>
      <c r="D37" s="334">
        <v>0</v>
      </c>
      <c r="E37" s="334">
        <v>0</v>
      </c>
      <c r="F37" s="334">
        <v>0</v>
      </c>
    </row>
    <row r="38" spans="1:6">
      <c r="A38" s="348" t="s">
        <v>25</v>
      </c>
      <c r="B38" s="348" t="s">
        <v>29</v>
      </c>
      <c r="C38" s="334">
        <v>2</v>
      </c>
      <c r="D38" s="334">
        <v>369590.49656233803</v>
      </c>
      <c r="E38" s="334">
        <v>5</v>
      </c>
      <c r="F38" s="334">
        <v>221753.87947355999</v>
      </c>
    </row>
    <row r="39" spans="1:6">
      <c r="A39" s="348" t="s">
        <v>30</v>
      </c>
      <c r="B39" s="348" t="s">
        <v>31</v>
      </c>
      <c r="C39" s="334">
        <v>11696</v>
      </c>
      <c r="D39" s="334">
        <v>215923620.16333601</v>
      </c>
      <c r="E39" s="334">
        <v>16708</v>
      </c>
      <c r="F39" s="334">
        <v>64030173.242956199</v>
      </c>
    </row>
    <row r="40" spans="1:6">
      <c r="A40" s="348" t="s">
        <v>30</v>
      </c>
      <c r="B40" s="348" t="s">
        <v>29</v>
      </c>
      <c r="C40" s="334">
        <v>0</v>
      </c>
      <c r="D40" s="334">
        <v>0</v>
      </c>
      <c r="E40" s="334">
        <v>0</v>
      </c>
      <c r="F40" s="334">
        <v>0</v>
      </c>
    </row>
    <row r="41" spans="1:6">
      <c r="A41" s="348" t="s">
        <v>32</v>
      </c>
      <c r="B41" s="348" t="s">
        <v>33</v>
      </c>
      <c r="C41" s="334">
        <v>139</v>
      </c>
      <c r="D41" s="334">
        <v>4054529.8240857301</v>
      </c>
      <c r="E41" s="334">
        <v>255</v>
      </c>
      <c r="F41" s="334">
        <v>1212569.4993436199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177967.892689703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9</v>
      </c>
      <c r="D47" s="334">
        <v>228861.404361166</v>
      </c>
      <c r="E47" s="334">
        <v>9</v>
      </c>
      <c r="F47" s="334">
        <v>60752.232332808897</v>
      </c>
    </row>
    <row r="48" spans="1:6">
      <c r="A48" s="348" t="s">
        <v>32</v>
      </c>
      <c r="B48" s="348" t="s">
        <v>29</v>
      </c>
      <c r="C48" s="334">
        <v>71</v>
      </c>
      <c r="D48" s="334">
        <v>63100714.400627598</v>
      </c>
      <c r="E48" s="334">
        <v>115</v>
      </c>
      <c r="F48" s="334">
        <v>20130617.470750999</v>
      </c>
    </row>
    <row r="49" spans="1:6">
      <c r="A49" s="348" t="s">
        <v>32</v>
      </c>
      <c r="B49" s="348" t="s">
        <v>40</v>
      </c>
      <c r="C49" s="334">
        <v>0</v>
      </c>
      <c r="D49" s="334">
        <v>0</v>
      </c>
      <c r="E49" s="334">
        <v>0</v>
      </c>
      <c r="F49" s="334">
        <v>0</v>
      </c>
    </row>
    <row r="50" spans="1:6">
      <c r="A50" s="348" t="s">
        <v>32</v>
      </c>
      <c r="B50" s="348" t="s">
        <v>41</v>
      </c>
      <c r="C50" s="334">
        <v>7</v>
      </c>
      <c r="D50" s="334">
        <v>504779.37249682198</v>
      </c>
      <c r="E50" s="334">
        <v>23</v>
      </c>
      <c r="F50" s="334">
        <v>18152868.575030498</v>
      </c>
    </row>
    <row r="51" spans="1:6">
      <c r="A51" s="348" t="s">
        <v>42</v>
      </c>
      <c r="B51" s="348" t="s">
        <v>43</v>
      </c>
      <c r="C51" s="334">
        <v>17</v>
      </c>
      <c r="D51" s="334">
        <v>718092.39612706401</v>
      </c>
      <c r="E51" s="334">
        <v>62</v>
      </c>
      <c r="F51" s="334">
        <v>569700.71198879799</v>
      </c>
    </row>
    <row r="52" spans="1:6">
      <c r="A52" s="348" t="s">
        <v>42</v>
      </c>
      <c r="B52" s="348" t="s">
        <v>29</v>
      </c>
      <c r="C52" s="334">
        <v>10</v>
      </c>
      <c r="D52" s="334">
        <v>1079294.2848244801</v>
      </c>
      <c r="E52" s="334">
        <v>12</v>
      </c>
      <c r="F52" s="334">
        <v>266591.31619042298</v>
      </c>
    </row>
    <row r="53" spans="1:6">
      <c r="A53" s="348" t="s">
        <v>44</v>
      </c>
      <c r="B53" s="348" t="s">
        <v>45</v>
      </c>
      <c r="C53" s="334">
        <v>336</v>
      </c>
      <c r="D53" s="334">
        <v>7843675.6150142802</v>
      </c>
      <c r="E53" s="334">
        <v>656</v>
      </c>
      <c r="F53" s="334">
        <v>2388260.06498332</v>
      </c>
    </row>
    <row r="54" spans="1:6">
      <c r="A54" s="348" t="s">
        <v>46</v>
      </c>
      <c r="B54" s="348" t="s">
        <v>47</v>
      </c>
      <c r="C54" s="334">
        <v>0</v>
      </c>
      <c r="D54" s="334">
        <v>0</v>
      </c>
      <c r="E54" s="334">
        <v>1</v>
      </c>
      <c r="F54" s="334">
        <v>2017091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67</v>
      </c>
      <c r="D57" s="334">
        <v>5152413.2783188596</v>
      </c>
      <c r="E57" s="334">
        <v>190</v>
      </c>
      <c r="F57" s="334">
        <v>4128261.9135341099</v>
      </c>
    </row>
    <row r="58" spans="1:6">
      <c r="A58" s="348" t="s">
        <v>49</v>
      </c>
      <c r="B58" s="348" t="s">
        <v>51</v>
      </c>
      <c r="C58" s="334">
        <v>61</v>
      </c>
      <c r="D58" s="334">
        <v>4001687.8182165902</v>
      </c>
      <c r="E58" s="334">
        <v>93</v>
      </c>
      <c r="F58" s="334">
        <v>2266137.6387859401</v>
      </c>
    </row>
    <row r="59" spans="1:6">
      <c r="A59" s="348" t="s">
        <v>49</v>
      </c>
      <c r="B59" s="348" t="s">
        <v>52</v>
      </c>
      <c r="C59" s="334">
        <v>176</v>
      </c>
      <c r="D59" s="334">
        <v>8749816.1044499893</v>
      </c>
      <c r="E59" s="334">
        <v>390</v>
      </c>
      <c r="F59" s="334">
        <v>14618685.373712</v>
      </c>
    </row>
    <row r="60" spans="1:6">
      <c r="A60" s="348" t="s">
        <v>49</v>
      </c>
      <c r="B60" s="348" t="s">
        <v>53</v>
      </c>
      <c r="C60" s="334">
        <v>98</v>
      </c>
      <c r="D60" s="334">
        <v>6418331.9151509097</v>
      </c>
      <c r="E60" s="334">
        <v>143</v>
      </c>
      <c r="F60" s="334">
        <v>6473299.85136717</v>
      </c>
    </row>
    <row r="61" spans="1:6">
      <c r="A61" s="348" t="s">
        <v>49</v>
      </c>
      <c r="B61" s="348" t="s">
        <v>54</v>
      </c>
      <c r="C61" s="334">
        <v>371</v>
      </c>
      <c r="D61" s="334">
        <v>27503864.4750426</v>
      </c>
      <c r="E61" s="334">
        <v>810</v>
      </c>
      <c r="F61" s="334">
        <v>13881509.696312999</v>
      </c>
    </row>
    <row r="62" spans="1:6">
      <c r="A62" s="348" t="s">
        <v>49</v>
      </c>
      <c r="B62" s="348" t="s">
        <v>55</v>
      </c>
      <c r="C62" s="334">
        <v>16</v>
      </c>
      <c r="D62" s="334">
        <v>2840500.45092001</v>
      </c>
      <c r="E62" s="334">
        <v>20</v>
      </c>
      <c r="F62" s="334">
        <v>820550.32223587797</v>
      </c>
    </row>
    <row r="63" spans="1:6">
      <c r="A63" s="348" t="s">
        <v>49</v>
      </c>
      <c r="B63" s="348" t="s">
        <v>29</v>
      </c>
      <c r="C63" s="334">
        <v>288</v>
      </c>
      <c r="D63" s="334">
        <v>27047666.8467586</v>
      </c>
      <c r="E63" s="334">
        <v>317</v>
      </c>
      <c r="F63" s="334">
        <v>7045018.9499976197</v>
      </c>
    </row>
    <row r="64" spans="1:6">
      <c r="A64" s="348" t="s">
        <v>56</v>
      </c>
      <c r="B64" s="348" t="s">
        <v>57</v>
      </c>
      <c r="C64" s="334">
        <v>0</v>
      </c>
      <c r="D64" s="334">
        <v>0</v>
      </c>
      <c r="E64" s="334">
        <v>0</v>
      </c>
      <c r="F64" s="334">
        <v>0</v>
      </c>
    </row>
    <row r="65" spans="1:6">
      <c r="A65" s="348" t="s">
        <v>56</v>
      </c>
      <c r="B65" s="348" t="s">
        <v>29</v>
      </c>
      <c r="C65" s="334">
        <v>6</v>
      </c>
      <c r="D65" s="334">
        <v>464139.75583094801</v>
      </c>
      <c r="E65" s="334">
        <v>9</v>
      </c>
      <c r="F65" s="334">
        <v>46668.837636557597</v>
      </c>
    </row>
    <row r="66" spans="1:6">
      <c r="A66" s="348" t="s">
        <v>56</v>
      </c>
      <c r="B66" s="348" t="s">
        <v>58</v>
      </c>
      <c r="C66" s="334">
        <v>0</v>
      </c>
      <c r="D66" s="334">
        <v>0</v>
      </c>
      <c r="E66" s="334">
        <v>23</v>
      </c>
      <c r="F66" s="334">
        <v>1272828.20093336</v>
      </c>
    </row>
    <row r="67" spans="1:6">
      <c r="A67" s="355" t="s">
        <v>56</v>
      </c>
      <c r="B67" s="355" t="s">
        <v>59</v>
      </c>
      <c r="C67" s="334">
        <v>0</v>
      </c>
      <c r="D67" s="334">
        <v>0</v>
      </c>
      <c r="E67" s="334">
        <v>0</v>
      </c>
      <c r="F67" s="334">
        <v>0</v>
      </c>
    </row>
    <row r="68" spans="1:6">
      <c r="A68" s="341" t="s">
        <v>56</v>
      </c>
      <c r="B68" s="341" t="s">
        <v>60</v>
      </c>
      <c r="C68" s="334">
        <v>11</v>
      </c>
      <c r="D68" s="334">
        <v>417109.16968495399</v>
      </c>
      <c r="E68" s="334">
        <v>27</v>
      </c>
      <c r="F68" s="334">
        <v>427238.51991598302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129234505</v>
      </c>
      <c r="E73" s="475">
        <v>130272573.6208799</v>
      </c>
    </row>
    <row r="74" spans="1:6">
      <c r="A74" s="348" t="s">
        <v>64</v>
      </c>
      <c r="B74" s="348" t="s">
        <v>657</v>
      </c>
      <c r="C74" s="1295" t="s">
        <v>659</v>
      </c>
      <c r="D74" s="475">
        <v>3524464.5</v>
      </c>
      <c r="E74" s="475">
        <v>3538747.3039857121</v>
      </c>
    </row>
    <row r="75" spans="1:6">
      <c r="A75" s="348" t="s">
        <v>65</v>
      </c>
      <c r="B75" s="348" t="s">
        <v>656</v>
      </c>
      <c r="C75" s="1295" t="s">
        <v>660</v>
      </c>
      <c r="D75" s="475">
        <v>128158627</v>
      </c>
      <c r="E75" s="475">
        <v>130553080.10081352</v>
      </c>
    </row>
    <row r="76" spans="1:6">
      <c r="A76" s="348" t="s">
        <v>65</v>
      </c>
      <c r="B76" s="348" t="s">
        <v>657</v>
      </c>
      <c r="C76" s="1295" t="s">
        <v>661</v>
      </c>
      <c r="D76" s="475">
        <v>1978526.5</v>
      </c>
      <c r="E76" s="475">
        <v>1965937.8137370856</v>
      </c>
    </row>
    <row r="77" spans="1:6">
      <c r="A77" s="348" t="s">
        <v>66</v>
      </c>
      <c r="B77" s="348" t="s">
        <v>656</v>
      </c>
      <c r="C77" s="1295" t="s">
        <v>662</v>
      </c>
      <c r="D77" s="475">
        <v>476861728</v>
      </c>
      <c r="E77" s="475">
        <v>490730520.69007754</v>
      </c>
    </row>
    <row r="78" spans="1:6">
      <c r="A78" s="341" t="s">
        <v>66</v>
      </c>
      <c r="B78" s="341" t="s">
        <v>657</v>
      </c>
      <c r="C78" s="341" t="s">
        <v>663</v>
      </c>
      <c r="D78" s="1296">
        <v>45932409</v>
      </c>
      <c r="E78" s="1296">
        <v>47139715.749768272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2072317</v>
      </c>
      <c r="C83" s="475">
        <v>2075137.3806288689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4601.8494983292139</v>
      </c>
    </row>
    <row r="92" spans="1:6">
      <c r="A92" s="341" t="s">
        <v>69</v>
      </c>
      <c r="B92" s="342">
        <v>1457.1458734879848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7949</v>
      </c>
    </row>
    <row r="98" spans="1:6">
      <c r="A98" s="348" t="s">
        <v>72</v>
      </c>
      <c r="B98" s="334">
        <v>7</v>
      </c>
    </row>
    <row r="99" spans="1:6">
      <c r="A99" s="348" t="s">
        <v>73</v>
      </c>
      <c r="B99" s="334">
        <v>122</v>
      </c>
    </row>
    <row r="100" spans="1:6">
      <c r="A100" s="348" t="s">
        <v>74</v>
      </c>
      <c r="B100" s="334">
        <v>1160</v>
      </c>
    </row>
    <row r="101" spans="1:6">
      <c r="A101" s="348" t="s">
        <v>75</v>
      </c>
      <c r="B101" s="334">
        <v>75</v>
      </c>
    </row>
    <row r="102" spans="1:6">
      <c r="A102" s="348" t="s">
        <v>76</v>
      </c>
      <c r="B102" s="334">
        <v>251</v>
      </c>
    </row>
    <row r="103" spans="1:6">
      <c r="A103" s="348" t="s">
        <v>77</v>
      </c>
      <c r="B103" s="334">
        <v>198</v>
      </c>
    </row>
    <row r="104" spans="1:6">
      <c r="A104" s="348" t="s">
        <v>78</v>
      </c>
      <c r="B104" s="334">
        <v>5082</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48</v>
      </c>
      <c r="C123" s="334">
        <v>60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196</v>
      </c>
    </row>
    <row r="130" spans="1:6">
      <c r="A130" s="348" t="s">
        <v>295</v>
      </c>
      <c r="B130" s="334">
        <v>1</v>
      </c>
    </row>
    <row r="131" spans="1:6">
      <c r="A131" s="348" t="s">
        <v>296</v>
      </c>
      <c r="B131" s="334">
        <v>5</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163130.76354539726</v>
      </c>
      <c r="C3" s="43" t="s">
        <v>170</v>
      </c>
      <c r="D3" s="43"/>
      <c r="E3" s="154"/>
      <c r="F3" s="43"/>
      <c r="G3" s="43"/>
      <c r="H3" s="43"/>
      <c r="I3" s="43"/>
      <c r="J3" s="43"/>
      <c r="K3" s="96"/>
    </row>
    <row r="4" spans="1:11">
      <c r="A4" s="383" t="s">
        <v>171</v>
      </c>
      <c r="B4" s="49">
        <f>IF(ISERROR('SEAP template'!B78+'SEAP template'!C78),0,'SEAP template'!B78+'SEAP template'!C78)</f>
        <v>6526.9953718171982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111.21882352941181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0.21283938624015741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158.88403361344541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668.57142857142856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2017.0909999999999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2017.0909999999999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0.21283938624015741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429.31641043054532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64030.173242956196</v>
      </c>
      <c r="C5" s="17">
        <f>IF(ISERROR('Eigen informatie GS &amp; warmtenet'!B57),0,'Eigen informatie GS &amp; warmtenet'!B57)</f>
        <v>0</v>
      </c>
      <c r="D5" s="30">
        <f>(SUM(HH_hh_gas_kWh,HH_rest_gas_kWh)/1000)*0.902</f>
        <v>194763.10538732909</v>
      </c>
      <c r="E5" s="17">
        <f>B46*B57</f>
        <v>6343.301931557191</v>
      </c>
      <c r="F5" s="17">
        <f>B51*B62</f>
        <v>44261.203670961848</v>
      </c>
      <c r="G5" s="18"/>
      <c r="H5" s="17"/>
      <c r="I5" s="17"/>
      <c r="J5" s="17">
        <f>B50*B61+C50*C61</f>
        <v>0</v>
      </c>
      <c r="K5" s="17"/>
      <c r="L5" s="17"/>
      <c r="M5" s="17"/>
      <c r="N5" s="17">
        <f>B48*B59+C48*C59</f>
        <v>13289.525794880239</v>
      </c>
      <c r="O5" s="17">
        <f>B69*B70*B71</f>
        <v>401.7766666666667</v>
      </c>
      <c r="P5" s="17">
        <f>B77*B78*B79/1000-B77*B78*B79/1000/B80</f>
        <v>1735.0666666666666</v>
      </c>
    </row>
    <row r="6" spans="1:16">
      <c r="A6" s="16" t="s">
        <v>621</v>
      </c>
      <c r="B6" s="788">
        <f>kWh_PV_kleiner_dan_10kW</f>
        <v>4601.8494983292139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68632.022741285415</v>
      </c>
      <c r="C8" s="21">
        <f>C5</f>
        <v>0</v>
      </c>
      <c r="D8" s="21">
        <f>D5</f>
        <v>194763.10538732909</v>
      </c>
      <c r="E8" s="21">
        <f>E5</f>
        <v>6343.301931557191</v>
      </c>
      <c r="F8" s="21">
        <f>F5</f>
        <v>44261.203670961848</v>
      </c>
      <c r="G8" s="21"/>
      <c r="H8" s="21"/>
      <c r="I8" s="21"/>
      <c r="J8" s="21">
        <f>J5</f>
        <v>0</v>
      </c>
      <c r="K8" s="21"/>
      <c r="L8" s="21">
        <f>L5</f>
        <v>0</v>
      </c>
      <c r="M8" s="21">
        <f>M5</f>
        <v>0</v>
      </c>
      <c r="N8" s="21">
        <f>N5</f>
        <v>13289.525794880239</v>
      </c>
      <c r="O8" s="21">
        <f>O5</f>
        <v>401.7766666666667</v>
      </c>
      <c r="P8" s="21">
        <f>P5</f>
        <v>1735.0666666666666</v>
      </c>
    </row>
    <row r="9" spans="1:16">
      <c r="B9" s="19"/>
      <c r="C9" s="19"/>
      <c r="D9" s="258"/>
      <c r="E9" s="19"/>
      <c r="F9" s="19"/>
      <c r="G9" s="19"/>
      <c r="H9" s="19"/>
      <c r="I9" s="19"/>
      <c r="J9" s="19"/>
      <c r="K9" s="19"/>
      <c r="L9" s="19"/>
      <c r="M9" s="19"/>
      <c r="N9" s="19"/>
      <c r="O9" s="19"/>
      <c r="P9" s="19"/>
    </row>
    <row r="10" spans="1:16">
      <c r="A10" s="24" t="s">
        <v>214</v>
      </c>
      <c r="B10" s="25">
        <f ca="1">'EF ele_warmte'!B12</f>
        <v>0.21283938624015741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14607.597596675714</v>
      </c>
      <c r="C12" s="23">
        <f ca="1">C10*C8</f>
        <v>0</v>
      </c>
      <c r="D12" s="23">
        <f>D8*D10</f>
        <v>39342.147288240478</v>
      </c>
      <c r="E12" s="23">
        <f>E10*E8</f>
        <v>1439.9295384634825</v>
      </c>
      <c r="F12" s="23">
        <f>F10*F8</f>
        <v>11817.741380146814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7949</v>
      </c>
      <c r="C18" s="166" t="s">
        <v>111</v>
      </c>
      <c r="D18" s="228"/>
      <c r="E18" s="15"/>
    </row>
    <row r="19" spans="1:7">
      <c r="A19" s="171" t="s">
        <v>72</v>
      </c>
      <c r="B19" s="37">
        <f>aantalw2001_ander</f>
        <v>7</v>
      </c>
      <c r="C19" s="166" t="s">
        <v>111</v>
      </c>
      <c r="D19" s="229"/>
      <c r="E19" s="15"/>
    </row>
    <row r="20" spans="1:7">
      <c r="A20" s="171" t="s">
        <v>73</v>
      </c>
      <c r="B20" s="37">
        <f>aantalw2001_propaan</f>
        <v>122</v>
      </c>
      <c r="C20" s="167">
        <f>IF(ISERROR(B20/SUM($B$20,$B$21,$B$22)*100),0,B20/SUM($B$20,$B$21,$B$22)*100)</f>
        <v>8.9904200442151812</v>
      </c>
      <c r="D20" s="229"/>
      <c r="E20" s="15"/>
    </row>
    <row r="21" spans="1:7">
      <c r="A21" s="171" t="s">
        <v>74</v>
      </c>
      <c r="B21" s="37">
        <f>aantalw2001_elektriciteit</f>
        <v>1160</v>
      </c>
      <c r="C21" s="167">
        <f>IF(ISERROR(B21/SUM($B$20,$B$21,$B$22)*100),0,B21/SUM($B$20,$B$21,$B$22)*100)</f>
        <v>85.482682387619747</v>
      </c>
      <c r="D21" s="229"/>
      <c r="E21" s="15"/>
    </row>
    <row r="22" spans="1:7">
      <c r="A22" s="171" t="s">
        <v>75</v>
      </c>
      <c r="B22" s="37">
        <f>aantalw2001_hout</f>
        <v>75</v>
      </c>
      <c r="C22" s="167">
        <f>IF(ISERROR(B22/SUM($B$20,$B$21,$B$22)*100),0,B22/SUM($B$20,$B$21,$B$22)*100)</f>
        <v>5.5268975681650696</v>
      </c>
      <c r="D22" s="229"/>
      <c r="E22" s="15"/>
    </row>
    <row r="23" spans="1:7">
      <c r="A23" s="171" t="s">
        <v>76</v>
      </c>
      <c r="B23" s="37">
        <f>aantalw2001_niet_gespec</f>
        <v>251</v>
      </c>
      <c r="C23" s="166" t="s">
        <v>111</v>
      </c>
      <c r="D23" s="228"/>
      <c r="E23" s="15"/>
    </row>
    <row r="24" spans="1:7">
      <c r="A24" s="171" t="s">
        <v>77</v>
      </c>
      <c r="B24" s="37">
        <f>aantalw2001_steenkool</f>
        <v>198</v>
      </c>
      <c r="C24" s="166" t="s">
        <v>111</v>
      </c>
      <c r="D24" s="229"/>
      <c r="E24" s="15"/>
    </row>
    <row r="25" spans="1:7">
      <c r="A25" s="171" t="s">
        <v>78</v>
      </c>
      <c r="B25" s="37">
        <f>aantalw2001_stookolie</f>
        <v>5082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16829</v>
      </c>
      <c r="C28" s="36"/>
      <c r="D28" s="228"/>
    </row>
    <row r="29" spans="1:7" s="15" customFormat="1">
      <c r="A29" s="230" t="s">
        <v>794</v>
      </c>
      <c r="B29" s="37">
        <f>SUM(HH_hh_gas_aantal,HH_rest_gas_aantal)</f>
        <v>11696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11696</v>
      </c>
      <c r="C32" s="167">
        <f>IF(ISERROR(B32/SUM($B$32,$B$34,$B$35,$B$36,$B$38,$B$39)*100),0,B32/SUM($B$32,$B$34,$B$35,$B$36,$B$38,$B$39)*100)</f>
        <v>69.876926753495042</v>
      </c>
      <c r="D32" s="233"/>
      <c r="G32" s="15"/>
    </row>
    <row r="33" spans="1:7">
      <c r="A33" s="171" t="s">
        <v>72</v>
      </c>
      <c r="B33" s="34" t="s">
        <v>111</v>
      </c>
      <c r="C33" s="167"/>
      <c r="D33" s="233"/>
      <c r="G33" s="15"/>
    </row>
    <row r="34" spans="1:7">
      <c r="A34" s="171" t="s">
        <v>73</v>
      </c>
      <c r="B34" s="33">
        <f>IF((($B$28-$B$32-$B$39-$B$77-$B$38)*C20/100)&lt;0,0,($B$28-$B$32-$B$39-$B$77-$B$38)*C20/100)</f>
        <v>299.5877671333825</v>
      </c>
      <c r="C34" s="167">
        <f>IF(ISERROR(B34/SUM($B$32,$B$34,$B$35,$B$36,$B$38,$B$39)*100),0,B34/SUM($B$32,$B$34,$B$35,$B$36,$B$38,$B$39)*100)</f>
        <v>1.7898659764212121</v>
      </c>
      <c r="D34" s="233"/>
      <c r="G34" s="15"/>
    </row>
    <row r="35" spans="1:7">
      <c r="A35" s="171" t="s">
        <v>74</v>
      </c>
      <c r="B35" s="33">
        <f>IF((($B$28-$B$32-$B$39-$B$77-$B$38)*C21/100)&lt;0,0,($B$28-$B$32-$B$39-$B$77-$B$38)*C21/100)</f>
        <v>2848.5394252026531</v>
      </c>
      <c r="C35" s="167">
        <f>IF(ISERROR(B35/SUM($B$32,$B$34,$B$35,$B$36,$B$38,$B$39)*100),0,B35/SUM($B$32,$B$34,$B$35,$B$36,$B$38,$B$39)*100)</f>
        <v>17.018397808595132</v>
      </c>
      <c r="D35" s="233"/>
      <c r="G35" s="15"/>
    </row>
    <row r="36" spans="1:7">
      <c r="A36" s="171" t="s">
        <v>75</v>
      </c>
      <c r="B36" s="33">
        <f>IF((($B$28-$B$32-$B$39-$B$77-$B$38)*C22/100)&lt;0,0,($B$28-$B$32-$B$39-$B$77-$B$38)*C22/100)</f>
        <v>184.17280766396462</v>
      </c>
      <c r="C36" s="167">
        <f>IF(ISERROR(B36/SUM($B$32,$B$34,$B$35,$B$36,$B$38,$B$39)*100),0,B36/SUM($B$32,$B$34,$B$35,$B$36,$B$38,$B$39)*100)</f>
        <v>1.1003274445212368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1709.6999999999998</v>
      </c>
      <c r="C39" s="167">
        <f>IF(ISERROR(B39/SUM($B$32,$B$34,$B$35,$B$36,$B$38,$B$39)*100),0,B39/SUM($B$32,$B$34,$B$35,$B$36,$B$38,$B$39)*100)</f>
        <v>10.214482016967379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11696</v>
      </c>
      <c r="C44" s="34" t="s">
        <v>111</v>
      </c>
      <c r="D44" s="174"/>
    </row>
    <row r="45" spans="1:7">
      <c r="A45" s="171" t="s">
        <v>72</v>
      </c>
      <c r="B45" s="33" t="str">
        <f t="shared" si="0"/>
        <v>-</v>
      </c>
      <c r="C45" s="34" t="s">
        <v>111</v>
      </c>
      <c r="D45" s="174"/>
    </row>
    <row r="46" spans="1:7">
      <c r="A46" s="171" t="s">
        <v>73</v>
      </c>
      <c r="B46" s="33">
        <f t="shared" si="0"/>
        <v>299.5877671333825</v>
      </c>
      <c r="C46" s="34" t="s">
        <v>111</v>
      </c>
      <c r="D46" s="174"/>
    </row>
    <row r="47" spans="1:7">
      <c r="A47" s="171" t="s">
        <v>74</v>
      </c>
      <c r="B47" s="33">
        <f t="shared" si="0"/>
        <v>2848.5394252026531</v>
      </c>
      <c r="C47" s="34" t="s">
        <v>111</v>
      </c>
      <c r="D47" s="174"/>
    </row>
    <row r="48" spans="1:7">
      <c r="A48" s="171" t="s">
        <v>75</v>
      </c>
      <c r="B48" s="33">
        <f t="shared" si="0"/>
        <v>184.17280766396462</v>
      </c>
      <c r="C48" s="33">
        <f>B48*10</f>
        <v>1841.7280766396461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1709.6999999999998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49233.463745945708</v>
      </c>
      <c r="C5" s="17">
        <f>IF(ISERROR('Eigen informatie GS &amp; warmtenet'!B58),0,'Eigen informatie GS &amp; warmtenet'!B58)</f>
        <v>0</v>
      </c>
      <c r="D5" s="30">
        <f>SUM(D6:D12)</f>
        <v>73706.281361749527</v>
      </c>
      <c r="E5" s="17">
        <f>SUM(E6:E12)</f>
        <v>727.92982320267629</v>
      </c>
      <c r="F5" s="17">
        <f>SUM(F6:F12)</f>
        <v>8500.2528914522754</v>
      </c>
      <c r="G5" s="18"/>
      <c r="H5" s="17"/>
      <c r="I5" s="17"/>
      <c r="J5" s="17">
        <f>SUM(J6:J12)</f>
        <v>0.1066680749821183</v>
      </c>
      <c r="K5" s="17"/>
      <c r="L5" s="17"/>
      <c r="M5" s="17"/>
      <c r="N5" s="17">
        <f>SUM(N6:N12)</f>
        <v>4260.5415027870758</v>
      </c>
      <c r="O5" s="17">
        <f>B38*B39*B40</f>
        <v>1.5633333333333335</v>
      </c>
      <c r="P5" s="17">
        <f>B46*B47*B48/1000-B46*B47*B48/1000/B49</f>
        <v>95.333333333333343</v>
      </c>
      <c r="R5" s="32"/>
    </row>
    <row r="6" spans="1:18">
      <c r="A6" s="32" t="s">
        <v>54</v>
      </c>
      <c r="B6" s="37">
        <f>B26</f>
        <v>13881.509696313</v>
      </c>
      <c r="C6" s="33"/>
      <c r="D6" s="37">
        <f>IF(ISERROR(TER_kantoor_gas_kWh/1000),0,TER_kantoor_gas_kWh/1000)*0.902</f>
        <v>24808.485756488426</v>
      </c>
      <c r="E6" s="33">
        <f>$C$26*'E Balans VL '!I12/100/3.6*1000000</f>
        <v>8.7004685858695419E-2</v>
      </c>
      <c r="F6" s="33">
        <f>$C$26*('E Balans VL '!L12+'E Balans VL '!N12)/100/3.6*1000000</f>
        <v>2086.0030209807455</v>
      </c>
      <c r="G6" s="34"/>
      <c r="H6" s="33"/>
      <c r="I6" s="33"/>
      <c r="J6" s="33">
        <f>$C$26*('E Balans VL '!D12+'E Balans VL '!E12)/100/3.6*1000000</f>
        <v>0</v>
      </c>
      <c r="K6" s="33"/>
      <c r="L6" s="33"/>
      <c r="M6" s="33"/>
      <c r="N6" s="33">
        <f>$C$26*'E Balans VL '!Y12/100/3.6*1000000</f>
        <v>13.275605864839889</v>
      </c>
      <c r="O6" s="33"/>
      <c r="P6" s="33"/>
      <c r="R6" s="32"/>
    </row>
    <row r="7" spans="1:18">
      <c r="A7" s="32" t="s">
        <v>53</v>
      </c>
      <c r="B7" s="37">
        <f t="shared" ref="B7:B12" si="0">B27</f>
        <v>6473.29985136717</v>
      </c>
      <c r="C7" s="33"/>
      <c r="D7" s="37">
        <f>IF(ISERROR(TER_horeca_gas_kWh/1000),0,TER_horeca_gas_kWh/1000)*0.902</f>
        <v>5789.3353874661207</v>
      </c>
      <c r="E7" s="33">
        <f>$C$27*'E Balans VL '!I9/100/3.6*1000000</f>
        <v>92.696575625657758</v>
      </c>
      <c r="F7" s="33">
        <f>$C$27*('E Balans VL '!L9+'E Balans VL '!N9)/100/3.6*1000000</f>
        <v>819.73325883736368</v>
      </c>
      <c r="G7" s="34"/>
      <c r="H7" s="33"/>
      <c r="I7" s="33"/>
      <c r="J7" s="33">
        <f>$C$27*('E Balans VL '!D9+'E Balans VL '!E9)/100/3.6*1000000</f>
        <v>0</v>
      </c>
      <c r="K7" s="33"/>
      <c r="L7" s="33"/>
      <c r="M7" s="33"/>
      <c r="N7" s="33">
        <f>$C$27*'E Balans VL '!Y9/100/3.6*1000000</f>
        <v>1.8609309832577206</v>
      </c>
      <c r="O7" s="33"/>
      <c r="P7" s="33"/>
      <c r="R7" s="32"/>
    </row>
    <row r="8" spans="1:18">
      <c r="A8" s="6" t="s">
        <v>52</v>
      </c>
      <c r="B8" s="37">
        <f t="shared" si="0"/>
        <v>14618.685373712</v>
      </c>
      <c r="C8" s="33"/>
      <c r="D8" s="37">
        <f>IF(ISERROR(TER_handel_gas_kWh/1000),0,TER_handel_gas_kWh/1000)*0.902</f>
        <v>7892.3341262138902</v>
      </c>
      <c r="E8" s="33">
        <f>$C$28*'E Balans VL '!I13/100/3.6*1000000</f>
        <v>530.21791580901754</v>
      </c>
      <c r="F8" s="33">
        <f>$C$28*('E Balans VL '!L13+'E Balans VL '!N13)/100/3.6*1000000</f>
        <v>2815.7068265773869</v>
      </c>
      <c r="G8" s="34"/>
      <c r="H8" s="33"/>
      <c r="I8" s="33"/>
      <c r="J8" s="33">
        <f>$C$28*('E Balans VL '!D13+'E Balans VL '!E13)/100/3.6*1000000</f>
        <v>0</v>
      </c>
      <c r="K8" s="33"/>
      <c r="L8" s="33"/>
      <c r="M8" s="33"/>
      <c r="N8" s="33">
        <f>$C$28*'E Balans VL '!Y13/100/3.6*1000000</f>
        <v>20.250242852083122</v>
      </c>
      <c r="O8" s="33"/>
      <c r="P8" s="33"/>
      <c r="R8" s="32"/>
    </row>
    <row r="9" spans="1:18">
      <c r="A9" s="32" t="s">
        <v>51</v>
      </c>
      <c r="B9" s="37">
        <f t="shared" si="0"/>
        <v>2266.13763878594</v>
      </c>
      <c r="C9" s="33"/>
      <c r="D9" s="37">
        <f>IF(ISERROR(TER_gezond_gas_kWh/1000),0,TER_gezond_gas_kWh/1000)*0.902</f>
        <v>3609.5224120313642</v>
      </c>
      <c r="E9" s="33">
        <f>$C$29*'E Balans VL '!I10/100/3.6*1000000</f>
        <v>0.14188259025507394</v>
      </c>
      <c r="F9" s="33">
        <f>$C$29*('E Balans VL '!L10+'E Balans VL '!N10)/100/3.6*1000000</f>
        <v>336.64164597366579</v>
      </c>
      <c r="G9" s="34"/>
      <c r="H9" s="33"/>
      <c r="I9" s="33"/>
      <c r="J9" s="33">
        <f>$C$29*('E Balans VL '!D10+'E Balans VL '!E10)/100/3.6*1000000</f>
        <v>0</v>
      </c>
      <c r="K9" s="33"/>
      <c r="L9" s="33"/>
      <c r="M9" s="33"/>
      <c r="N9" s="33">
        <f>$C$29*'E Balans VL '!Y10/100/3.6*1000000</f>
        <v>35.05283566033166</v>
      </c>
      <c r="O9" s="33"/>
      <c r="P9" s="33"/>
      <c r="R9" s="32"/>
    </row>
    <row r="10" spans="1:18">
      <c r="A10" s="32" t="s">
        <v>50</v>
      </c>
      <c r="B10" s="37">
        <f t="shared" si="0"/>
        <v>4128.2619135341101</v>
      </c>
      <c r="C10" s="33"/>
      <c r="D10" s="37">
        <f>IF(ISERROR(TER_ander_gas_kWh/1000),0,TER_ander_gas_kWh/1000)*0.902</f>
        <v>4647.4767770436119</v>
      </c>
      <c r="E10" s="33">
        <f>$C$30*'E Balans VL '!I14/100/3.6*1000000</f>
        <v>4.9207406817782253</v>
      </c>
      <c r="F10" s="33">
        <f>$C$30*('E Balans VL '!L14+'E Balans VL '!N14)/100/3.6*1000000</f>
        <v>1080.1368446903243</v>
      </c>
      <c r="G10" s="34"/>
      <c r="H10" s="33"/>
      <c r="I10" s="33"/>
      <c r="J10" s="33">
        <f>$C$30*('E Balans VL '!D14+'E Balans VL '!E14)/100/3.6*1000000</f>
        <v>8.9608383802950595E-2</v>
      </c>
      <c r="K10" s="33"/>
      <c r="L10" s="33"/>
      <c r="M10" s="33"/>
      <c r="N10" s="33">
        <f>$C$30*'E Balans VL '!Y14/100/3.6*1000000</f>
        <v>3505.6189998260593</v>
      </c>
      <c r="O10" s="33"/>
      <c r="P10" s="33"/>
      <c r="R10" s="32"/>
    </row>
    <row r="11" spans="1:18">
      <c r="A11" s="32" t="s">
        <v>55</v>
      </c>
      <c r="B11" s="37">
        <f t="shared" si="0"/>
        <v>820.55032223587796</v>
      </c>
      <c r="C11" s="33"/>
      <c r="D11" s="37">
        <f>IF(ISERROR(TER_onderwijs_gas_kWh/1000),0,TER_onderwijs_gas_kWh/1000)*0.902</f>
        <v>2562.131406729849</v>
      </c>
      <c r="E11" s="33">
        <f>$C$31*'E Balans VL '!I11/100/3.6*1000000</f>
        <v>12.380782740572808</v>
      </c>
      <c r="F11" s="33">
        <f>$C$31*('E Balans VL '!L11+'E Balans VL '!N11)/100/3.6*1000000</f>
        <v>143.77352513710244</v>
      </c>
      <c r="G11" s="34"/>
      <c r="H11" s="33"/>
      <c r="I11" s="33"/>
      <c r="J11" s="33">
        <f>$C$31*('E Balans VL '!D11+'E Balans VL '!E11)/100/3.6*1000000</f>
        <v>0</v>
      </c>
      <c r="K11" s="33"/>
      <c r="L11" s="33"/>
      <c r="M11" s="33"/>
      <c r="N11" s="33">
        <f>$C$31*'E Balans VL '!Y11/100/3.6*1000000</f>
        <v>2.3090909873828274</v>
      </c>
      <c r="O11" s="33"/>
      <c r="P11" s="33"/>
      <c r="R11" s="32"/>
    </row>
    <row r="12" spans="1:18">
      <c r="A12" s="32" t="s">
        <v>260</v>
      </c>
      <c r="B12" s="37">
        <f t="shared" si="0"/>
        <v>7045.0189499976195</v>
      </c>
      <c r="C12" s="33"/>
      <c r="D12" s="37">
        <f>IF(ISERROR(TER_rest_gas_kWh/1000),0,TER_rest_gas_kWh/1000)*0.902</f>
        <v>24396.995495776257</v>
      </c>
      <c r="E12" s="33">
        <f>$C$32*'E Balans VL '!I8/100/3.6*1000000</f>
        <v>87.484921069536171</v>
      </c>
      <c r="F12" s="33">
        <f>$C$32*('E Balans VL '!L8+'E Balans VL '!N8)/100/3.6*1000000</f>
        <v>1218.2577692556872</v>
      </c>
      <c r="G12" s="34"/>
      <c r="H12" s="33"/>
      <c r="I12" s="33"/>
      <c r="J12" s="33">
        <f>$C$32*('E Balans VL '!D8+'E Balans VL '!E8)/100/3.6*1000000</f>
        <v>1.7059691179167717E-2</v>
      </c>
      <c r="K12" s="33"/>
      <c r="L12" s="33"/>
      <c r="M12" s="33"/>
      <c r="N12" s="33">
        <f>$C$32*'E Balans VL '!Y8/100/3.6*1000000</f>
        <v>682.17379661312145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49233.463745945708</v>
      </c>
      <c r="C16" s="21">
        <f t="shared" ca="1" si="1"/>
        <v>0</v>
      </c>
      <c r="D16" s="21">
        <f t="shared" ca="1" si="1"/>
        <v>73706.281361749527</v>
      </c>
      <c r="E16" s="21">
        <f t="shared" si="1"/>
        <v>727.92982320267629</v>
      </c>
      <c r="F16" s="21">
        <f t="shared" ca="1" si="1"/>
        <v>8500.2528914522754</v>
      </c>
      <c r="G16" s="21">
        <f t="shared" si="1"/>
        <v>0</v>
      </c>
      <c r="H16" s="21">
        <f t="shared" si="1"/>
        <v>0</v>
      </c>
      <c r="I16" s="21">
        <f t="shared" si="1"/>
        <v>0</v>
      </c>
      <c r="J16" s="21">
        <f t="shared" si="1"/>
        <v>0.1066680749821183</v>
      </c>
      <c r="K16" s="21">
        <f t="shared" si="1"/>
        <v>0</v>
      </c>
      <c r="L16" s="21">
        <f t="shared" ca="1" si="1"/>
        <v>0</v>
      </c>
      <c r="M16" s="21">
        <f t="shared" si="1"/>
        <v>0</v>
      </c>
      <c r="N16" s="21">
        <f t="shared" ca="1" si="1"/>
        <v>4260.5415027870758</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0.21283938624015741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10478.820206164126</v>
      </c>
      <c r="C20" s="23">
        <f t="shared" ref="C20:P20" ca="1" si="2">C16*C18</f>
        <v>0</v>
      </c>
      <c r="D20" s="23">
        <f t="shared" ca="1" si="2"/>
        <v>14888.668835073406</v>
      </c>
      <c r="E20" s="23">
        <f t="shared" si="2"/>
        <v>165.24006986700752</v>
      </c>
      <c r="F20" s="23">
        <f t="shared" ca="1" si="2"/>
        <v>2269.5675220177577</v>
      </c>
      <c r="G20" s="23">
        <f t="shared" si="2"/>
        <v>0</v>
      </c>
      <c r="H20" s="23">
        <f t="shared" si="2"/>
        <v>0</v>
      </c>
      <c r="I20" s="23">
        <f t="shared" si="2"/>
        <v>0</v>
      </c>
      <c r="J20" s="23">
        <f t="shared" si="2"/>
        <v>3.7760498543669876E-2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13881.509696313</v>
      </c>
      <c r="C26" s="39">
        <f>IF(ISERROR(B26*3.6/1000000/'E Balans VL '!Z12*100),0,B26*3.6/1000000/'E Balans VL '!Z12*100)</f>
        <v>0.29343312489244699</v>
      </c>
      <c r="D26" s="237" t="s">
        <v>754</v>
      </c>
      <c r="F26" s="6"/>
    </row>
    <row r="27" spans="1:18">
      <c r="A27" s="231" t="s">
        <v>53</v>
      </c>
      <c r="B27" s="33">
        <f>IF(ISERROR(TER_horeca_ele_kWh/1000),0,TER_horeca_ele_kWh/1000)</f>
        <v>6473.29985136717</v>
      </c>
      <c r="C27" s="39">
        <f>IF(ISERROR(B27*3.6/1000000/'E Balans VL '!Z9*100),0,B27*3.6/1000000/'E Balans VL '!Z9*100)</f>
        <v>0.51028781456124561</v>
      </c>
      <c r="D27" s="237" t="s">
        <v>754</v>
      </c>
      <c r="F27" s="6"/>
    </row>
    <row r="28" spans="1:18">
      <c r="A28" s="171" t="s">
        <v>52</v>
      </c>
      <c r="B28" s="33">
        <f>IF(ISERROR(TER_handel_ele_kWh/1000),0,TER_handel_ele_kWh/1000)</f>
        <v>14618.685373712</v>
      </c>
      <c r="C28" s="39">
        <f>IF(ISERROR(B28*3.6/1000000/'E Balans VL '!Z13*100),0,B28*3.6/1000000/'E Balans VL '!Z13*100)</f>
        <v>0.42429331565274991</v>
      </c>
      <c r="D28" s="237" t="s">
        <v>754</v>
      </c>
      <c r="F28" s="6"/>
    </row>
    <row r="29" spans="1:18">
      <c r="A29" s="231" t="s">
        <v>51</v>
      </c>
      <c r="B29" s="33">
        <f>IF(ISERROR(TER_gezond_ele_kWh/1000),0,TER_gezond_ele_kWh/1000)</f>
        <v>2266.13763878594</v>
      </c>
      <c r="C29" s="39">
        <f>IF(ISERROR(B29*3.6/1000000/'E Balans VL '!Z10*100),0,B29*3.6/1000000/'E Balans VL '!Z10*100)</f>
        <v>0.23866150432641392</v>
      </c>
      <c r="D29" s="237" t="s">
        <v>754</v>
      </c>
      <c r="F29" s="6"/>
    </row>
    <row r="30" spans="1:18">
      <c r="A30" s="231" t="s">
        <v>50</v>
      </c>
      <c r="B30" s="33">
        <f>IF(ISERROR(TER_ander_ele_kWh/1000),0,TER_ander_ele_kWh/1000)</f>
        <v>4128.2619135341101</v>
      </c>
      <c r="C30" s="39">
        <f>IF(ISERROR(B30*3.6/1000000/'E Balans VL '!Z14*100),0,B30*3.6/1000000/'E Balans VL '!Z14*100)</f>
        <v>0.30450149539630328</v>
      </c>
      <c r="D30" s="237" t="s">
        <v>754</v>
      </c>
      <c r="F30" s="6"/>
    </row>
    <row r="31" spans="1:18">
      <c r="A31" s="231" t="s">
        <v>55</v>
      </c>
      <c r="B31" s="33">
        <f>IF(ISERROR(TER_onderwijs_ele_kWh/1000),0,TER_onderwijs_ele_kWh/1000)</f>
        <v>820.55032223587796</v>
      </c>
      <c r="C31" s="39">
        <f>IF(ISERROR(B31*3.6/1000000/'E Balans VL '!Z11*100),0,B31*3.6/1000000/'E Balans VL '!Z11*100)</f>
        <v>0.20378108185188673</v>
      </c>
      <c r="D31" s="237" t="s">
        <v>754</v>
      </c>
    </row>
    <row r="32" spans="1:18">
      <c r="A32" s="231" t="s">
        <v>260</v>
      </c>
      <c r="B32" s="33">
        <f>IF(ISERROR(TER_rest_ele_kWh/1000),0,TER_rest_ele_kWh/1000)</f>
        <v>7045.0189499976195</v>
      </c>
      <c r="C32" s="39">
        <f>IF(ISERROR(B32*3.6/1000000/'E Balans VL '!Z8*100),0,B32*3.6/1000000/'E Balans VL '!Z8*100)</f>
        <v>5.7971154646409825E-2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39734.775670147632</v>
      </c>
      <c r="C5" s="17">
        <f>IF(ISERROR('Eigen informatie GS &amp; warmtenet'!B59),0,'Eigen informatie GS &amp; warmtenet'!B59)</f>
        <v>0</v>
      </c>
      <c r="D5" s="30">
        <f>SUM(D6:D15)</f>
        <v>61235.774271417329</v>
      </c>
      <c r="E5" s="17">
        <f>SUM(E6:E15)</f>
        <v>1506.1137738182156</v>
      </c>
      <c r="F5" s="17">
        <f>SUM(F6:F15)</f>
        <v>6134.0127573153368</v>
      </c>
      <c r="G5" s="18"/>
      <c r="H5" s="17"/>
      <c r="I5" s="17"/>
      <c r="J5" s="17">
        <f>SUM(J6:J15)</f>
        <v>72.076623652067056</v>
      </c>
      <c r="K5" s="17"/>
      <c r="L5" s="17"/>
      <c r="M5" s="17"/>
      <c r="N5" s="17">
        <f>SUM(N6:N15)</f>
        <v>6348.1236820028662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177.96789268970301</v>
      </c>
      <c r="C8" s="33"/>
      <c r="D8" s="37">
        <f>IF( ISERROR(IND_metaal_Gas_kWH/1000),0,IND_metaal_Gas_kWH/1000)*0.902</f>
        <v>0</v>
      </c>
      <c r="E8" s="33">
        <f>C30*'E Balans VL '!I18/100/3.6*1000000</f>
        <v>1.6362428902564472</v>
      </c>
      <c r="F8" s="33">
        <f>C30*'E Balans VL '!L18/100/3.6*1000000+C30*'E Balans VL '!N18/100/3.6*1000000</f>
        <v>16.687463183375563</v>
      </c>
      <c r="G8" s="34"/>
      <c r="H8" s="33"/>
      <c r="I8" s="33"/>
      <c r="J8" s="40">
        <f>C30*'E Balans VL '!D18/100/3.6*1000000+C30*'E Balans VL '!E18/100/3.6*1000000</f>
        <v>0</v>
      </c>
      <c r="K8" s="33"/>
      <c r="L8" s="33"/>
      <c r="M8" s="33"/>
      <c r="N8" s="33">
        <f>C30*'E Balans VL '!Y18/100/3.6*1000000</f>
        <v>2.539006093546325</v>
      </c>
      <c r="O8" s="33"/>
      <c r="P8" s="33"/>
      <c r="R8" s="32"/>
    </row>
    <row r="9" spans="1:18">
      <c r="A9" s="6" t="s">
        <v>33</v>
      </c>
      <c r="B9" s="37">
        <f t="shared" si="0"/>
        <v>1212.56949934362</v>
      </c>
      <c r="C9" s="33"/>
      <c r="D9" s="37">
        <f>IF( ISERROR(IND_andere_gas_kWh/1000),0,IND_andere_gas_kWh/1000)*0.902</f>
        <v>3657.1859013253288</v>
      </c>
      <c r="E9" s="33">
        <f>C31*'E Balans VL '!I19/100/3.6*1000000</f>
        <v>354.45767060198733</v>
      </c>
      <c r="F9" s="33">
        <f>C31*'E Balans VL '!L19/100/3.6*1000000+C31*'E Balans VL '!N19/100/3.6*1000000</f>
        <v>974.39137580012641</v>
      </c>
      <c r="G9" s="34"/>
      <c r="H9" s="33"/>
      <c r="I9" s="33"/>
      <c r="J9" s="40">
        <f>C31*'E Balans VL '!D19/100/3.6*1000000+C31*'E Balans VL '!E19/100/3.6*1000000</f>
        <v>0</v>
      </c>
      <c r="K9" s="33"/>
      <c r="L9" s="33"/>
      <c r="M9" s="33"/>
      <c r="N9" s="33">
        <f>C31*'E Balans VL '!Y19/100/3.6*1000000</f>
        <v>400.65176820274729</v>
      </c>
      <c r="O9" s="33"/>
      <c r="P9" s="33"/>
      <c r="R9" s="32"/>
    </row>
    <row r="10" spans="1:18">
      <c r="A10" s="6" t="s">
        <v>41</v>
      </c>
      <c r="B10" s="37">
        <f t="shared" si="0"/>
        <v>18152.868575030498</v>
      </c>
      <c r="C10" s="33"/>
      <c r="D10" s="37">
        <f>IF( ISERROR(IND_voed_gas_kWh/1000),0,IND_voed_gas_kWh/1000)*0.902</f>
        <v>455.31099399213343</v>
      </c>
      <c r="E10" s="33">
        <f>C32*'E Balans VL '!I20/100/3.6*1000000</f>
        <v>38.402674934037897</v>
      </c>
      <c r="F10" s="33">
        <f>C32*'E Balans VL '!L20/100/3.6*1000000+C32*'E Balans VL '!N20/100/3.6*1000000</f>
        <v>1154.1779266119345</v>
      </c>
      <c r="G10" s="34"/>
      <c r="H10" s="33"/>
      <c r="I10" s="33"/>
      <c r="J10" s="40">
        <f>C32*'E Balans VL '!D20/100/3.6*1000000+C32*'E Balans VL '!E20/100/3.6*1000000</f>
        <v>0</v>
      </c>
      <c r="K10" s="33"/>
      <c r="L10" s="33"/>
      <c r="M10" s="33"/>
      <c r="N10" s="33">
        <f>C32*'E Balans VL '!Y20/100/3.6*1000000</f>
        <v>1252.7270685613375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60.752232332808894</v>
      </c>
      <c r="C13" s="33"/>
      <c r="D13" s="37">
        <f>IF( ISERROR(IND_papier_gas_kWh/1000),0,IND_papier_gas_kWh/1000)*0.902</f>
        <v>206.43298673377174</v>
      </c>
      <c r="E13" s="33">
        <f>C35*'E Balans VL '!I23/100/3.6*1000000</f>
        <v>8.6193523752579604E-2</v>
      </c>
      <c r="F13" s="33">
        <f>C35*'E Balans VL '!L23/100/3.6*1000000+C35*'E Balans VL '!N23/100/3.6*1000000</f>
        <v>1.4831904343661722</v>
      </c>
      <c r="G13" s="34"/>
      <c r="H13" s="33"/>
      <c r="I13" s="33"/>
      <c r="J13" s="40">
        <f>C35*'E Balans VL '!D23/100/3.6*1000000+C35*'E Balans VL '!E23/100/3.6*1000000</f>
        <v>9.3959031069833429E-3</v>
      </c>
      <c r="K13" s="33"/>
      <c r="L13" s="33"/>
      <c r="M13" s="33"/>
      <c r="N13" s="33">
        <f>C35*'E Balans VL '!Y23/100/3.6*1000000</f>
        <v>176.59235835029807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20130.617470751</v>
      </c>
      <c r="C15" s="33"/>
      <c r="D15" s="37">
        <f>IF( ISERROR(IND_rest_gas_kWh/1000),0,IND_rest_gas_kWh/1000)*0.902</f>
        <v>56916.844389366095</v>
      </c>
      <c r="E15" s="33">
        <f>C37*'E Balans VL '!I15/100/3.6*1000000</f>
        <v>1111.5309918681812</v>
      </c>
      <c r="F15" s="33">
        <f>C37*'E Balans VL '!L15/100/3.6*1000000+C37*'E Balans VL '!N15/100/3.6*1000000</f>
        <v>3987.2728012855346</v>
      </c>
      <c r="G15" s="34"/>
      <c r="H15" s="33"/>
      <c r="I15" s="33"/>
      <c r="J15" s="40">
        <f>C37*'E Balans VL '!D15/100/3.6*1000000+C37*'E Balans VL '!E15/100/3.6*1000000</f>
        <v>72.067227748960079</v>
      </c>
      <c r="K15" s="33"/>
      <c r="L15" s="33"/>
      <c r="M15" s="33"/>
      <c r="N15" s="33">
        <f>C37*'E Balans VL '!Y15/100/3.6*1000000</f>
        <v>4515.6134807949365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39734.775670147632</v>
      </c>
      <c r="C18" s="21">
        <f>C5+C16</f>
        <v>0</v>
      </c>
      <c r="D18" s="21">
        <f>MAX((D5+D16),0)</f>
        <v>61235.774271417329</v>
      </c>
      <c r="E18" s="21">
        <f>MAX((E5+E16),0)</f>
        <v>1506.1137738182156</v>
      </c>
      <c r="F18" s="21">
        <f>MAX((F5+F16),0)</f>
        <v>6134.0127573153368</v>
      </c>
      <c r="G18" s="21"/>
      <c r="H18" s="21"/>
      <c r="I18" s="21"/>
      <c r="J18" s="21">
        <f>MAX((J5+J16),0)</f>
        <v>72.076623652067056</v>
      </c>
      <c r="K18" s="21"/>
      <c r="L18" s="21">
        <f>MAX((L5+L16),0)</f>
        <v>0</v>
      </c>
      <c r="M18" s="21"/>
      <c r="N18" s="21">
        <f>MAX((N5+N16),0)</f>
        <v>6348.1236820028662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0.21283938624015741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8457.1252660245609</v>
      </c>
      <c r="C22" s="23">
        <f ca="1">C18*C20</f>
        <v>0</v>
      </c>
      <c r="D22" s="23">
        <f>D18*D20</f>
        <v>12369.626402826301</v>
      </c>
      <c r="E22" s="23">
        <f>E18*E20</f>
        <v>341.88782665673494</v>
      </c>
      <c r="F22" s="23">
        <f>F18*F20</f>
        <v>1637.781406203195</v>
      </c>
      <c r="G22" s="23"/>
      <c r="H22" s="23"/>
      <c r="I22" s="23"/>
      <c r="J22" s="23">
        <f>J18*J20</f>
        <v>25.515124772831737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177.96789268970301</v>
      </c>
      <c r="C30" s="39">
        <f>IF(ISERROR(B30*3.6/1000000/'E Balans VL '!Z18*100),0,B30*3.6/1000000/'E Balans VL '!Z18*100)</f>
        <v>1.0085896818249141E-2</v>
      </c>
      <c r="D30" s="237" t="s">
        <v>754</v>
      </c>
    </row>
    <row r="31" spans="1:18">
      <c r="A31" s="6" t="s">
        <v>33</v>
      </c>
      <c r="B31" s="37">
        <f>IF( ISERROR(IND_ander_ele_kWh/1000),0,IND_ander_ele_kWh/1000)</f>
        <v>1212.56949934362</v>
      </c>
      <c r="C31" s="39">
        <f>IF(ISERROR(B31*3.6/1000000/'E Balans VL '!Z19*100),0,B31*3.6/1000000/'E Balans VL '!Z19*100)</f>
        <v>5.4997103438708533E-2</v>
      </c>
      <c r="D31" s="237" t="s">
        <v>754</v>
      </c>
    </row>
    <row r="32" spans="1:18">
      <c r="A32" s="171" t="s">
        <v>41</v>
      </c>
      <c r="B32" s="37">
        <f>IF( ISERROR(IND_voed_ele_kWh/1000),0,IND_voed_ele_kWh/1000)</f>
        <v>18152.868575030498</v>
      </c>
      <c r="C32" s="39">
        <f>IF(ISERROR(B32*3.6/1000000/'E Balans VL '!Z20*100),0,B32*3.6/1000000/'E Balans VL '!Z20*100)</f>
        <v>0.56155063209094269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60.752232332808894</v>
      </c>
      <c r="C35" s="39">
        <f>IF(ISERROR(B35*3.6/1000000/'E Balans VL '!Z22*100),0,B35*3.6/1000000/'E Balans VL '!Z22*100)</f>
        <v>1.0927431148853251E-2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20130.617470751</v>
      </c>
      <c r="C37" s="39">
        <f>IF(ISERROR(B37*3.6/1000000/'E Balans VL '!Z15*100),0,B37*3.6/1000000/'E Balans VL '!Z15*100)</f>
        <v>0.15955986620520823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836.29202817922101</v>
      </c>
      <c r="C5" s="17">
        <f>'Eigen informatie GS &amp; warmtenet'!B60</f>
        <v>0</v>
      </c>
      <c r="D5" s="30">
        <f>IF(ISERROR(SUM(LB_lb_gas_kWh,LB_rest_gas_kWh)/1000),0,SUM(LB_lb_gas_kWh,LB_rest_gas_kWh)/1000)*0.902</f>
        <v>1621.2427862182928</v>
      </c>
      <c r="E5" s="17">
        <f>B17*'E Balans VL '!I25/3.6*1000000/100</f>
        <v>24.581177038866041</v>
      </c>
      <c r="F5" s="17">
        <f>B17*('E Balans VL '!L25/3.6*1000000+'E Balans VL '!N25/3.6*1000000)/100</f>
        <v>3483.9473985453938</v>
      </c>
      <c r="G5" s="18"/>
      <c r="H5" s="17"/>
      <c r="I5" s="17"/>
      <c r="J5" s="17">
        <f>('E Balans VL '!D25+'E Balans VL '!E25)/3.6*1000000*landbouw!B17/100</f>
        <v>121.16075530628272</v>
      </c>
      <c r="K5" s="17"/>
      <c r="L5" s="17">
        <f>L6*(-1)</f>
        <v>0</v>
      </c>
      <c r="M5" s="17"/>
      <c r="N5" s="17">
        <f>N6*(-1)</f>
        <v>0</v>
      </c>
      <c r="O5" s="17"/>
      <c r="P5" s="17"/>
      <c r="R5" s="32"/>
    </row>
    <row r="6" spans="1:18">
      <c r="A6" s="16" t="s">
        <v>488</v>
      </c>
      <c r="B6" s="17" t="s">
        <v>211</v>
      </c>
      <c r="C6" s="17">
        <f>'lokale energieproductie'!O92+'lokale energieproductie'!O61</f>
        <v>668.57142857142856</v>
      </c>
      <c r="D6" s="310">
        <f>('lokale energieproductie'!P61+'lokale energieproductie'!P92)*(-1)</f>
        <v>-1337.1428571428573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836.29202817922101</v>
      </c>
      <c r="C8" s="21">
        <f>C5+C6</f>
        <v>668.57142857142856</v>
      </c>
      <c r="D8" s="21">
        <f>MAX((D5+D6),0)</f>
        <v>284.09992907543551</v>
      </c>
      <c r="E8" s="21">
        <f>MAX((E5+E6),0)</f>
        <v>24.581177038866041</v>
      </c>
      <c r="F8" s="21">
        <f>MAX((F5+F6),0)</f>
        <v>3483.9473985453938</v>
      </c>
      <c r="G8" s="21"/>
      <c r="H8" s="21"/>
      <c r="I8" s="21"/>
      <c r="J8" s="21">
        <f>MAX((J5+J6),0)</f>
        <v>121.16075530628272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0.21283938624015741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177.99588199520181</v>
      </c>
      <c r="C12" s="23">
        <f ca="1">C8*C10</f>
        <v>158.88403361344541</v>
      </c>
      <c r="D12" s="23">
        <f>D8*D10</f>
        <v>57.388185673237977</v>
      </c>
      <c r="E12" s="23">
        <f>E8*E10</f>
        <v>5.5799271878225918</v>
      </c>
      <c r="F12" s="23">
        <f>F8*F10</f>
        <v>930.21395541162019</v>
      </c>
      <c r="G12" s="23"/>
      <c r="H12" s="23"/>
      <c r="I12" s="23"/>
      <c r="J12" s="23">
        <f>J8*J10</f>
        <v>42.890907378424082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0.11867246258485255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79.326287650433727</v>
      </c>
      <c r="C26" s="247">
        <f>B26*'GWP N2O_CH4'!B5</f>
        <v>1665.8520406591083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5.2115253342862324</v>
      </c>
      <c r="C27" s="247">
        <f>B27*'GWP N2O_CH4'!B5</f>
        <v>109.44203202001088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1.1588615552083694</v>
      </c>
      <c r="C28" s="247">
        <f>B28*'GWP N2O_CH4'!B4</f>
        <v>359.24708211459455</v>
      </c>
      <c r="D28" s="50"/>
    </row>
    <row r="29" spans="1:4">
      <c r="A29" s="41" t="s">
        <v>277</v>
      </c>
      <c r="B29" s="247">
        <f>B34*'ha_N2O bodem landbouw'!B4</f>
        <v>8.1653316831991596</v>
      </c>
      <c r="C29" s="247">
        <f>B29*'GWP N2O_CH4'!B4</f>
        <v>2531.2528217917393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1.8633005511212468E-3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1.0398898614815424E-3</v>
      </c>
      <c r="C5" s="463" t="s">
        <v>211</v>
      </c>
      <c r="D5" s="448">
        <f>SUM(D6:D11)</f>
        <v>3.6358984331669583E-3</v>
      </c>
      <c r="E5" s="448">
        <f>SUM(E6:E11)</f>
        <v>5.579769269375077E-3</v>
      </c>
      <c r="F5" s="461" t="s">
        <v>211</v>
      </c>
      <c r="G5" s="448">
        <f>SUM(G6:G11)</f>
        <v>1.787649826791784</v>
      </c>
      <c r="H5" s="448">
        <f>SUM(H6:H11)</f>
        <v>0.42063461948523673</v>
      </c>
      <c r="I5" s="463" t="s">
        <v>211</v>
      </c>
      <c r="J5" s="463" t="s">
        <v>211</v>
      </c>
      <c r="K5" s="463" t="s">
        <v>211</v>
      </c>
      <c r="L5" s="463" t="s">
        <v>211</v>
      </c>
      <c r="M5" s="448">
        <f>SUM(M6:M11)</f>
        <v>0.11685271388422572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1.8302861693429679E-4</v>
      </c>
      <c r="C6" s="449"/>
      <c r="D6" s="892">
        <f>vkm_2011_GW_PW*SUMIFS(TableVerdeelsleutelVkm[CNG],TableVerdeelsleutelVkm[Voertuigtype],"Lichte voertuigen")*SUMIFS(TableECFTransport[EnergieConsumptieFactor (PJ per km)],TableECFTransport[Index],CONCATENATE($A6,"_CNG_CNG"))</f>
        <v>5.4898080193211904E-4</v>
      </c>
      <c r="E6" s="892">
        <f>vkm_2011_GW_PW*SUMIFS(TableVerdeelsleutelVkm[LPG],TableVerdeelsleutelVkm[Voertuigtype],"Lichte voertuigen")*SUMIFS(TableECFTransport[EnergieConsumptieFactor (PJ per km)],TableECFTransport[Index],CONCATENATE($A6,"_LPG_LPG"))</f>
        <v>7.4998663264521119E-4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0.19391216328045488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6.244024935252427E-2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1.3171198853804581E-2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3.30737478754492E-2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1.0080206290465221E-5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1.932718241349626E-3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1.8150490264197186E-4</v>
      </c>
      <c r="C8" s="449"/>
      <c r="D8" s="451">
        <f>vkm_2011_NGW_PW*SUMIFS(TableVerdeelsleutelVkm[CNG],TableVerdeelsleutelVkm[Voertuigtype],"Lichte voertuigen")*SUMIFS(TableECFTransport[EnergieConsumptieFactor (PJ per km)],TableECFTransport[Index],CONCATENATE($A8,"_CNG_CNG"))</f>
        <v>9.6796802740124158E-4</v>
      </c>
      <c r="E8" s="451">
        <f>vkm_2011_NGW_PW*SUMIFS(TableVerdeelsleutelVkm[LPG],TableVerdeelsleutelVkm[Voertuigtype],"Lichte voertuigen")*SUMIFS(TableECFTransport[EnergieConsumptieFactor (PJ per km)],TableECFTransport[Index],CONCATENATE($A8,"_LPG_LPG"))</f>
        <v>1.2246770539170433E-3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0.29507995873853871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0.10698844486616407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2.03959249000309E-2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2.3806892773571203E-2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6.8307623545457132E-6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1.3911819577025104E-3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6.7535634190527384E-4</v>
      </c>
      <c r="C10" s="449"/>
      <c r="D10" s="451">
        <f>vkm_2011_SW_PW*SUMIFS(TableVerdeelsleutelVkm[CNG],TableVerdeelsleutelVkm[Voertuigtype],"Lichte voertuigen")*SUMIFS(TableECFTransport[EnergieConsumptieFactor (PJ per km)],TableECFTransport[Index],CONCATENATE($A10,"_CNG_CNG"))</f>
        <v>2.1189496038335979E-3</v>
      </c>
      <c r="E10" s="451">
        <f>vkm_2011_SW_PW*SUMIFS(TableVerdeelsleutelVkm[LPG],TableVerdeelsleutelVkm[Voertuigtype],"Lichte voertuigen")*SUMIFS(TableECFTransport[EnergieConsumptieFactor (PJ per km)],TableECFTransport[Index],CONCATENATE($A10,"_LPG_LPG"))</f>
        <v>3.6051055828128222E-3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0.83098500491737637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0.25105381090959245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5.5956092955767617E-2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0.41079205920639361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1.3520338831091432E-4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2.4005596975570472E-2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288.85829485598401</v>
      </c>
      <c r="C14" s="21"/>
      <c r="D14" s="21">
        <f t="shared" ref="D14:M14" si="0">((D5)*10^9/3600)+D12</f>
        <v>1009.9717869908218</v>
      </c>
      <c r="E14" s="21">
        <f t="shared" si="0"/>
        <v>1549.9359081597436</v>
      </c>
      <c r="F14" s="21"/>
      <c r="G14" s="21">
        <f t="shared" si="0"/>
        <v>496569.39633105113</v>
      </c>
      <c r="H14" s="21">
        <f t="shared" si="0"/>
        <v>116842.9498570102</v>
      </c>
      <c r="I14" s="21"/>
      <c r="J14" s="21"/>
      <c r="K14" s="21"/>
      <c r="L14" s="21"/>
      <c r="M14" s="21">
        <f t="shared" si="0"/>
        <v>32459.087190062699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0.21283938624015741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61.480422187526059</v>
      </c>
      <c r="C18" s="23"/>
      <c r="D18" s="23">
        <f t="shared" ref="D18:M18" si="1">D14*D16</f>
        <v>204.014300972146</v>
      </c>
      <c r="E18" s="23">
        <f t="shared" si="1"/>
        <v>351.83545115226178</v>
      </c>
      <c r="F18" s="23"/>
      <c r="G18" s="23">
        <f t="shared" si="1"/>
        <v>132584.02882039067</v>
      </c>
      <c r="H18" s="23">
        <f t="shared" si="1"/>
        <v>29093.894514395539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2.6028626540544036E-2</v>
      </c>
      <c r="H50" s="321">
        <f t="shared" si="2"/>
        <v>0</v>
      </c>
      <c r="I50" s="321">
        <f t="shared" si="2"/>
        <v>0</v>
      </c>
      <c r="J50" s="321">
        <f t="shared" si="2"/>
        <v>0</v>
      </c>
      <c r="K50" s="321">
        <f t="shared" si="2"/>
        <v>0</v>
      </c>
      <c r="L50" s="321">
        <f t="shared" si="2"/>
        <v>0</v>
      </c>
      <c r="M50" s="321">
        <f t="shared" si="2"/>
        <v>1.4783110821428526E-3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2.6028626540544036E-2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1.4783110821428526E-3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7230.17403904001</v>
      </c>
      <c r="H54" s="21">
        <f t="shared" si="3"/>
        <v>0</v>
      </c>
      <c r="I54" s="21">
        <f t="shared" si="3"/>
        <v>0</v>
      </c>
      <c r="J54" s="21">
        <f t="shared" si="3"/>
        <v>0</v>
      </c>
      <c r="K54" s="21">
        <f t="shared" si="3"/>
        <v>0</v>
      </c>
      <c r="L54" s="21">
        <f t="shared" si="3"/>
        <v>0</v>
      </c>
      <c r="M54" s="21">
        <f t="shared" si="3"/>
        <v>410.64196726190346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0.21283938624015741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1930.4564684236827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51250.554745945708</v>
      </c>
      <c r="D10" s="1013">
        <f ca="1">tertiair!C16</f>
        <v>0</v>
      </c>
      <c r="E10" s="1013">
        <f ca="1">tertiair!D16</f>
        <v>73706.281361749527</v>
      </c>
      <c r="F10" s="1013">
        <f>tertiair!E16</f>
        <v>727.92982320267629</v>
      </c>
      <c r="G10" s="1013">
        <f ca="1">tertiair!F16</f>
        <v>8500.2528914522754</v>
      </c>
      <c r="H10" s="1013">
        <f>tertiair!G16</f>
        <v>0</v>
      </c>
      <c r="I10" s="1013">
        <f>tertiair!H16</f>
        <v>0</v>
      </c>
      <c r="J10" s="1013">
        <f>tertiair!I16</f>
        <v>0</v>
      </c>
      <c r="K10" s="1013">
        <f>tertiair!J16</f>
        <v>0.1066680749821183</v>
      </c>
      <c r="L10" s="1013">
        <f>tertiair!K16</f>
        <v>0</v>
      </c>
      <c r="M10" s="1013">
        <f ca="1">tertiair!L16</f>
        <v>0</v>
      </c>
      <c r="N10" s="1013">
        <f>tertiair!M16</f>
        <v>0</v>
      </c>
      <c r="O10" s="1013">
        <f ca="1">tertiair!N16</f>
        <v>4260.5415027870758</v>
      </c>
      <c r="P10" s="1013">
        <f>tertiair!O16</f>
        <v>1.5633333333333335</v>
      </c>
      <c r="Q10" s="1014">
        <f>tertiair!P16</f>
        <v>95.333333333333343</v>
      </c>
      <c r="R10" s="700">
        <f ca="1">SUM(C10:Q10)</f>
        <v>138542.56365987891</v>
      </c>
      <c r="S10" s="67"/>
    </row>
    <row r="11" spans="1:19" s="473" customFormat="1">
      <c r="A11" s="809" t="s">
        <v>225</v>
      </c>
      <c r="B11" s="814"/>
      <c r="C11" s="1013">
        <f>huishoudens!B8</f>
        <v>68632.022741285415</v>
      </c>
      <c r="D11" s="1013">
        <f>huishoudens!C8</f>
        <v>0</v>
      </c>
      <c r="E11" s="1013">
        <f>huishoudens!D8</f>
        <v>194763.10538732909</v>
      </c>
      <c r="F11" s="1013">
        <f>huishoudens!E8</f>
        <v>6343.301931557191</v>
      </c>
      <c r="G11" s="1013">
        <f>huishoudens!F8</f>
        <v>44261.203670961848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13289.525794880239</v>
      </c>
      <c r="P11" s="1013">
        <f>huishoudens!O8</f>
        <v>401.7766666666667</v>
      </c>
      <c r="Q11" s="1014">
        <f>huishoudens!P8</f>
        <v>1735.0666666666666</v>
      </c>
      <c r="R11" s="700">
        <f>SUM(C11:Q11)</f>
        <v>329426.00285934709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39734.775670147632</v>
      </c>
      <c r="D13" s="1013">
        <f>industrie!C18</f>
        <v>0</v>
      </c>
      <c r="E13" s="1013">
        <f>industrie!D18</f>
        <v>61235.774271417329</v>
      </c>
      <c r="F13" s="1013">
        <f>industrie!E18</f>
        <v>1506.1137738182156</v>
      </c>
      <c r="G13" s="1013">
        <f>industrie!F18</f>
        <v>6134.0127573153368</v>
      </c>
      <c r="H13" s="1013">
        <f>industrie!G18</f>
        <v>0</v>
      </c>
      <c r="I13" s="1013">
        <f>industrie!H18</f>
        <v>0</v>
      </c>
      <c r="J13" s="1013">
        <f>industrie!I18</f>
        <v>0</v>
      </c>
      <c r="K13" s="1013">
        <f>industrie!J18</f>
        <v>72.076623652067056</v>
      </c>
      <c r="L13" s="1013">
        <f>industrie!K18</f>
        <v>0</v>
      </c>
      <c r="M13" s="1013">
        <f>industrie!L18</f>
        <v>0</v>
      </c>
      <c r="N13" s="1013">
        <f>industrie!M18</f>
        <v>0</v>
      </c>
      <c r="O13" s="1013">
        <f>industrie!N18</f>
        <v>6348.1236820028662</v>
      </c>
      <c r="P13" s="1013">
        <f>industrie!O18</f>
        <v>0</v>
      </c>
      <c r="Q13" s="1014">
        <f>industrie!P18</f>
        <v>0</v>
      </c>
      <c r="R13" s="700">
        <f>SUM(C13:Q13)</f>
        <v>115030.87677835346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159617.35315737873</v>
      </c>
      <c r="D16" s="732">
        <f t="shared" ref="D16:R16" ca="1" si="0">SUM(D9:D15)</f>
        <v>0</v>
      </c>
      <c r="E16" s="732">
        <f t="shared" ca="1" si="0"/>
        <v>329705.16102049599</v>
      </c>
      <c r="F16" s="732">
        <f t="shared" si="0"/>
        <v>8577.3455285780819</v>
      </c>
      <c r="G16" s="732">
        <f t="shared" ca="1" si="0"/>
        <v>58895.469319729462</v>
      </c>
      <c r="H16" s="732">
        <f t="shared" si="0"/>
        <v>0</v>
      </c>
      <c r="I16" s="732">
        <f t="shared" si="0"/>
        <v>0</v>
      </c>
      <c r="J16" s="732">
        <f t="shared" si="0"/>
        <v>0</v>
      </c>
      <c r="K16" s="732">
        <f t="shared" si="0"/>
        <v>72.183291727049181</v>
      </c>
      <c r="L16" s="732">
        <f t="shared" si="0"/>
        <v>0</v>
      </c>
      <c r="M16" s="732">
        <f t="shared" ca="1" si="0"/>
        <v>0</v>
      </c>
      <c r="N16" s="732">
        <f t="shared" si="0"/>
        <v>0</v>
      </c>
      <c r="O16" s="732">
        <f t="shared" ca="1" si="0"/>
        <v>23898.19097967018</v>
      </c>
      <c r="P16" s="732">
        <f t="shared" si="0"/>
        <v>403.34000000000003</v>
      </c>
      <c r="Q16" s="732">
        <f t="shared" si="0"/>
        <v>1830.3999999999999</v>
      </c>
      <c r="R16" s="732">
        <f t="shared" ca="1" si="0"/>
        <v>582999.44329757942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7230.17403904001</v>
      </c>
      <c r="I19" s="1013">
        <f>transport!H54</f>
        <v>0</v>
      </c>
      <c r="J19" s="1013">
        <f>transport!I54</f>
        <v>0</v>
      </c>
      <c r="K19" s="1013">
        <f>transport!J54</f>
        <v>0</v>
      </c>
      <c r="L19" s="1013">
        <f>transport!K54</f>
        <v>0</v>
      </c>
      <c r="M19" s="1013">
        <f>transport!L54</f>
        <v>0</v>
      </c>
      <c r="N19" s="1013">
        <f>transport!M54</f>
        <v>410.64196726190346</v>
      </c>
      <c r="O19" s="1013">
        <f>transport!N54</f>
        <v>0</v>
      </c>
      <c r="P19" s="1013">
        <f>transport!O54</f>
        <v>0</v>
      </c>
      <c r="Q19" s="1014">
        <f>transport!P54</f>
        <v>0</v>
      </c>
      <c r="R19" s="700">
        <f>SUM(C19:Q19)</f>
        <v>7640.8160063019131</v>
      </c>
      <c r="S19" s="67"/>
    </row>
    <row r="20" spans="1:19" s="473" customFormat="1">
      <c r="A20" s="809" t="s">
        <v>307</v>
      </c>
      <c r="B20" s="814"/>
      <c r="C20" s="1013">
        <f>transport!B14</f>
        <v>288.85829485598401</v>
      </c>
      <c r="D20" s="1013">
        <f>transport!C14</f>
        <v>0</v>
      </c>
      <c r="E20" s="1013">
        <f>transport!D14</f>
        <v>1009.9717869908218</v>
      </c>
      <c r="F20" s="1013">
        <f>transport!E14</f>
        <v>1549.9359081597436</v>
      </c>
      <c r="G20" s="1013">
        <f>transport!F14</f>
        <v>0</v>
      </c>
      <c r="H20" s="1013">
        <f>transport!G14</f>
        <v>496569.39633105113</v>
      </c>
      <c r="I20" s="1013">
        <f>transport!H14</f>
        <v>116842.9498570102</v>
      </c>
      <c r="J20" s="1013">
        <f>transport!I14</f>
        <v>0</v>
      </c>
      <c r="K20" s="1013">
        <f>transport!J14</f>
        <v>0</v>
      </c>
      <c r="L20" s="1013">
        <f>transport!K14</f>
        <v>0</v>
      </c>
      <c r="M20" s="1013">
        <f>transport!L14</f>
        <v>0</v>
      </c>
      <c r="N20" s="1013">
        <f>transport!M14</f>
        <v>32459.087190062699</v>
      </c>
      <c r="O20" s="1013">
        <f>transport!N14</f>
        <v>0</v>
      </c>
      <c r="P20" s="1013">
        <f>transport!O14</f>
        <v>0</v>
      </c>
      <c r="Q20" s="1014">
        <f>transport!P14</f>
        <v>0</v>
      </c>
      <c r="R20" s="700">
        <f>SUM(C20:Q20)</f>
        <v>648720.19936813065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288.85829485598401</v>
      </c>
      <c r="D22" s="812">
        <f t="shared" ref="D22:R22" si="1">SUM(D18:D21)</f>
        <v>0</v>
      </c>
      <c r="E22" s="812">
        <f t="shared" si="1"/>
        <v>1009.9717869908218</v>
      </c>
      <c r="F22" s="812">
        <f t="shared" si="1"/>
        <v>1549.9359081597436</v>
      </c>
      <c r="G22" s="812">
        <f t="shared" si="1"/>
        <v>0</v>
      </c>
      <c r="H22" s="812">
        <f t="shared" si="1"/>
        <v>503799.57037009113</v>
      </c>
      <c r="I22" s="812">
        <f t="shared" si="1"/>
        <v>116842.9498570102</v>
      </c>
      <c r="J22" s="812">
        <f t="shared" si="1"/>
        <v>0</v>
      </c>
      <c r="K22" s="812">
        <f t="shared" si="1"/>
        <v>0</v>
      </c>
      <c r="L22" s="812">
        <f t="shared" si="1"/>
        <v>0</v>
      </c>
      <c r="M22" s="812">
        <f t="shared" si="1"/>
        <v>0</v>
      </c>
      <c r="N22" s="812">
        <f t="shared" si="1"/>
        <v>32869.729157324604</v>
      </c>
      <c r="O22" s="812">
        <f t="shared" si="1"/>
        <v>0</v>
      </c>
      <c r="P22" s="812">
        <f t="shared" si="1"/>
        <v>0</v>
      </c>
      <c r="Q22" s="812">
        <f t="shared" si="1"/>
        <v>0</v>
      </c>
      <c r="R22" s="812">
        <f t="shared" si="1"/>
        <v>656361.01537443255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836.29202817922101</v>
      </c>
      <c r="D24" s="1013">
        <f>+landbouw!C8</f>
        <v>668.57142857142856</v>
      </c>
      <c r="E24" s="1013">
        <f>+landbouw!D8</f>
        <v>284.09992907543551</v>
      </c>
      <c r="F24" s="1013">
        <f>+landbouw!E8</f>
        <v>24.581177038866041</v>
      </c>
      <c r="G24" s="1013">
        <f>+landbouw!F8</f>
        <v>3483.9473985453938</v>
      </c>
      <c r="H24" s="1013">
        <f>+landbouw!G8</f>
        <v>0</v>
      </c>
      <c r="I24" s="1013">
        <f>+landbouw!H8</f>
        <v>0</v>
      </c>
      <c r="J24" s="1013">
        <f>+landbouw!I8</f>
        <v>0</v>
      </c>
      <c r="K24" s="1013">
        <f>+landbouw!J8</f>
        <v>121.16075530628272</v>
      </c>
      <c r="L24" s="1013">
        <f>+landbouw!K8</f>
        <v>0</v>
      </c>
      <c r="M24" s="1013">
        <f>+landbouw!L8</f>
        <v>0</v>
      </c>
      <c r="N24" s="1013">
        <f>+landbouw!M8</f>
        <v>0</v>
      </c>
      <c r="O24" s="1013">
        <f>+landbouw!N8</f>
        <v>0</v>
      </c>
      <c r="P24" s="1013">
        <f>+landbouw!O8</f>
        <v>0</v>
      </c>
      <c r="Q24" s="1014">
        <f>+landbouw!P8</f>
        <v>0</v>
      </c>
      <c r="R24" s="700">
        <f>SUM(C24:Q24)</f>
        <v>5418.6527167166287</v>
      </c>
      <c r="S24" s="67"/>
    </row>
    <row r="25" spans="1:19" s="473" customFormat="1" ht="15" thickBot="1">
      <c r="A25" s="831" t="s">
        <v>836</v>
      </c>
      <c r="B25" s="1016"/>
      <c r="C25" s="1017">
        <f>IF(Onbekend_ele_kWh="---",0,Onbekend_ele_kWh)/1000+IF(REST_rest_ele_kWh="---",0,REST_rest_ele_kWh)/1000</f>
        <v>2388.2600649833198</v>
      </c>
      <c r="D25" s="1017"/>
      <c r="E25" s="1017">
        <f>IF(onbekend_gas_kWh="---",0,onbekend_gas_kWh)/1000+IF(REST_rest_gas_kWh="---",0,REST_rest_gas_kWh)/1000</f>
        <v>7843.6756150142801</v>
      </c>
      <c r="F25" s="1017"/>
      <c r="G25" s="1017"/>
      <c r="H25" s="1017"/>
      <c r="I25" s="1017"/>
      <c r="J25" s="1017"/>
      <c r="K25" s="1017"/>
      <c r="L25" s="1017"/>
      <c r="M25" s="1017"/>
      <c r="N25" s="1017"/>
      <c r="O25" s="1017"/>
      <c r="P25" s="1017"/>
      <c r="Q25" s="1018"/>
      <c r="R25" s="700">
        <f>SUM(C25:Q25)</f>
        <v>10231.935679997599</v>
      </c>
      <c r="S25" s="67"/>
    </row>
    <row r="26" spans="1:19" s="473" customFormat="1" ht="15.75" thickBot="1">
      <c r="A26" s="705" t="s">
        <v>837</v>
      </c>
      <c r="B26" s="817"/>
      <c r="C26" s="812">
        <f>SUM(C24:C25)</f>
        <v>3224.5520931625406</v>
      </c>
      <c r="D26" s="812">
        <f t="shared" ref="D26:R26" si="2">SUM(D24:D25)</f>
        <v>668.57142857142856</v>
      </c>
      <c r="E26" s="812">
        <f t="shared" si="2"/>
        <v>8127.7755440897154</v>
      </c>
      <c r="F26" s="812">
        <f t="shared" si="2"/>
        <v>24.581177038866041</v>
      </c>
      <c r="G26" s="812">
        <f t="shared" si="2"/>
        <v>3483.9473985453938</v>
      </c>
      <c r="H26" s="812">
        <f t="shared" si="2"/>
        <v>0</v>
      </c>
      <c r="I26" s="812">
        <f t="shared" si="2"/>
        <v>0</v>
      </c>
      <c r="J26" s="812">
        <f t="shared" si="2"/>
        <v>0</v>
      </c>
      <c r="K26" s="812">
        <f t="shared" si="2"/>
        <v>121.16075530628272</v>
      </c>
      <c r="L26" s="812">
        <f t="shared" si="2"/>
        <v>0</v>
      </c>
      <c r="M26" s="812">
        <f t="shared" si="2"/>
        <v>0</v>
      </c>
      <c r="N26" s="812">
        <f t="shared" si="2"/>
        <v>0</v>
      </c>
      <c r="O26" s="812">
        <f t="shared" si="2"/>
        <v>0</v>
      </c>
      <c r="P26" s="812">
        <f t="shared" si="2"/>
        <v>0</v>
      </c>
      <c r="Q26" s="812">
        <f t="shared" si="2"/>
        <v>0</v>
      </c>
      <c r="R26" s="812">
        <f t="shared" si="2"/>
        <v>15650.588396714229</v>
      </c>
      <c r="S26" s="67"/>
    </row>
    <row r="27" spans="1:19" s="473" customFormat="1" ht="17.25" thickTop="1" thickBot="1">
      <c r="A27" s="706" t="s">
        <v>116</v>
      </c>
      <c r="B27" s="805"/>
      <c r="C27" s="707">
        <f ca="1">C22+C16+C26</f>
        <v>163130.76354539726</v>
      </c>
      <c r="D27" s="707">
        <f t="shared" ref="D27:R27" ca="1" si="3">D22+D16+D26</f>
        <v>668.57142857142856</v>
      </c>
      <c r="E27" s="707">
        <f t="shared" ca="1" si="3"/>
        <v>338842.90835157654</v>
      </c>
      <c r="F27" s="707">
        <f t="shared" si="3"/>
        <v>10151.862613776691</v>
      </c>
      <c r="G27" s="707">
        <f t="shared" ca="1" si="3"/>
        <v>62379.416718274857</v>
      </c>
      <c r="H27" s="707">
        <f t="shared" si="3"/>
        <v>503799.57037009113</v>
      </c>
      <c r="I27" s="707">
        <f t="shared" si="3"/>
        <v>116842.9498570102</v>
      </c>
      <c r="J27" s="707">
        <f t="shared" si="3"/>
        <v>0</v>
      </c>
      <c r="K27" s="707">
        <f t="shared" si="3"/>
        <v>193.34404703333189</v>
      </c>
      <c r="L27" s="707">
        <f t="shared" si="3"/>
        <v>0</v>
      </c>
      <c r="M27" s="707">
        <f t="shared" ca="1" si="3"/>
        <v>0</v>
      </c>
      <c r="N27" s="707">
        <f t="shared" si="3"/>
        <v>32869.729157324604</v>
      </c>
      <c r="O27" s="707">
        <f t="shared" ca="1" si="3"/>
        <v>23898.19097967018</v>
      </c>
      <c r="P27" s="707">
        <f t="shared" si="3"/>
        <v>403.34000000000003</v>
      </c>
      <c r="Q27" s="707">
        <f t="shared" si="3"/>
        <v>1830.3999999999999</v>
      </c>
      <c r="R27" s="707">
        <f t="shared" ca="1" si="3"/>
        <v>1255011.0470687263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10908.136616594671</v>
      </c>
      <c r="D40" s="1013">
        <f ca="1">tertiair!C20</f>
        <v>0</v>
      </c>
      <c r="E40" s="1013">
        <f ca="1">tertiair!D20</f>
        <v>14888.668835073406</v>
      </c>
      <c r="F40" s="1013">
        <f>tertiair!E20</f>
        <v>165.24006986700752</v>
      </c>
      <c r="G40" s="1013">
        <f ca="1">tertiair!F20</f>
        <v>2269.5675220177577</v>
      </c>
      <c r="H40" s="1013">
        <f>tertiair!G20</f>
        <v>0</v>
      </c>
      <c r="I40" s="1013">
        <f>tertiair!H20</f>
        <v>0</v>
      </c>
      <c r="J40" s="1013">
        <f>tertiair!I20</f>
        <v>0</v>
      </c>
      <c r="K40" s="1013">
        <f>tertiair!J20</f>
        <v>3.7760498543669876E-2</v>
      </c>
      <c r="L40" s="1013">
        <f>tertiair!K20</f>
        <v>0</v>
      </c>
      <c r="M40" s="1013">
        <f ca="1">tertiair!L20</f>
        <v>0</v>
      </c>
      <c r="N40" s="1013">
        <f>tertiair!M20</f>
        <v>0</v>
      </c>
      <c r="O40" s="1013">
        <f ca="1">tertiair!N20</f>
        <v>0</v>
      </c>
      <c r="P40" s="1013">
        <f>tertiair!O20</f>
        <v>0</v>
      </c>
      <c r="Q40" s="774">
        <f>tertiair!P20</f>
        <v>0</v>
      </c>
      <c r="R40" s="850">
        <f t="shared" ca="1" si="4"/>
        <v>28231.650804051387</v>
      </c>
    </row>
    <row r="41" spans="1:18">
      <c r="A41" s="822" t="s">
        <v>225</v>
      </c>
      <c r="B41" s="829"/>
      <c r="C41" s="1013">
        <f ca="1">huishoudens!B12</f>
        <v>14607.597596675714</v>
      </c>
      <c r="D41" s="1013">
        <f ca="1">huishoudens!C12</f>
        <v>0</v>
      </c>
      <c r="E41" s="1013">
        <f>huishoudens!D12</f>
        <v>39342.147288240478</v>
      </c>
      <c r="F41" s="1013">
        <f>huishoudens!E12</f>
        <v>1439.9295384634825</v>
      </c>
      <c r="G41" s="1013">
        <f>huishoudens!F12</f>
        <v>11817.741380146814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67207.415803526485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8457.1252660245609</v>
      </c>
      <c r="D43" s="1013">
        <f ca="1">industrie!C22</f>
        <v>0</v>
      </c>
      <c r="E43" s="1013">
        <f>industrie!D22</f>
        <v>12369.626402826301</v>
      </c>
      <c r="F43" s="1013">
        <f>industrie!E22</f>
        <v>341.88782665673494</v>
      </c>
      <c r="G43" s="1013">
        <f>industrie!F22</f>
        <v>1637.781406203195</v>
      </c>
      <c r="H43" s="1013">
        <f>industrie!G22</f>
        <v>0</v>
      </c>
      <c r="I43" s="1013">
        <f>industrie!H22</f>
        <v>0</v>
      </c>
      <c r="J43" s="1013">
        <f>industrie!I22</f>
        <v>0</v>
      </c>
      <c r="K43" s="1013">
        <f>industrie!J22</f>
        <v>25.515124772831737</v>
      </c>
      <c r="L43" s="1013">
        <f>industrie!K22</f>
        <v>0</v>
      </c>
      <c r="M43" s="1013">
        <f>industrie!L22</f>
        <v>0</v>
      </c>
      <c r="N43" s="1013">
        <f>industrie!M22</f>
        <v>0</v>
      </c>
      <c r="O43" s="1013">
        <f>industrie!N22</f>
        <v>0</v>
      </c>
      <c r="P43" s="1013">
        <f>industrie!O22</f>
        <v>0</v>
      </c>
      <c r="Q43" s="774">
        <f>industrie!P22</f>
        <v>0</v>
      </c>
      <c r="R43" s="849">
        <f t="shared" ca="1" si="4"/>
        <v>22831.936026483621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33972.859479294944</v>
      </c>
      <c r="D46" s="732">
        <f t="shared" ref="D46:Q46" ca="1" si="5">SUM(D39:D45)</f>
        <v>0</v>
      </c>
      <c r="E46" s="732">
        <f t="shared" ca="1" si="5"/>
        <v>66600.442526140178</v>
      </c>
      <c r="F46" s="732">
        <f t="shared" si="5"/>
        <v>1947.057434987225</v>
      </c>
      <c r="G46" s="732">
        <f t="shared" ca="1" si="5"/>
        <v>15725.090308367768</v>
      </c>
      <c r="H46" s="732">
        <f t="shared" si="5"/>
        <v>0</v>
      </c>
      <c r="I46" s="732">
        <f t="shared" si="5"/>
        <v>0</v>
      </c>
      <c r="J46" s="732">
        <f t="shared" si="5"/>
        <v>0</v>
      </c>
      <c r="K46" s="732">
        <f t="shared" si="5"/>
        <v>25.552885271375406</v>
      </c>
      <c r="L46" s="732">
        <f t="shared" si="5"/>
        <v>0</v>
      </c>
      <c r="M46" s="732">
        <f t="shared" ca="1" si="5"/>
        <v>0</v>
      </c>
      <c r="N46" s="732">
        <f t="shared" si="5"/>
        <v>0</v>
      </c>
      <c r="O46" s="732">
        <f t="shared" ca="1" si="5"/>
        <v>0</v>
      </c>
      <c r="P46" s="732">
        <f t="shared" si="5"/>
        <v>0</v>
      </c>
      <c r="Q46" s="732">
        <f t="shared" si="5"/>
        <v>0</v>
      </c>
      <c r="R46" s="732">
        <f ca="1">SUM(R39:R45)</f>
        <v>118271.0026340615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1930.4564684236827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1930.4564684236827</v>
      </c>
    </row>
    <row r="50" spans="1:18">
      <c r="A50" s="825" t="s">
        <v>307</v>
      </c>
      <c r="B50" s="835"/>
      <c r="C50" s="703">
        <f ca="1">transport!B18</f>
        <v>61.480422187526059</v>
      </c>
      <c r="D50" s="703">
        <f>transport!C18</f>
        <v>0</v>
      </c>
      <c r="E50" s="703">
        <f>transport!D18</f>
        <v>204.014300972146</v>
      </c>
      <c r="F50" s="703">
        <f>transport!E18</f>
        <v>351.83545115226178</v>
      </c>
      <c r="G50" s="703">
        <f>transport!F18</f>
        <v>0</v>
      </c>
      <c r="H50" s="703">
        <f>transport!G18</f>
        <v>132584.02882039067</v>
      </c>
      <c r="I50" s="703">
        <f>transport!H18</f>
        <v>29093.894514395539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162295.25350909814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61.480422187526059</v>
      </c>
      <c r="D52" s="732">
        <f t="shared" ref="D52:Q52" ca="1" si="6">SUM(D48:D51)</f>
        <v>0</v>
      </c>
      <c r="E52" s="732">
        <f t="shared" si="6"/>
        <v>204.014300972146</v>
      </c>
      <c r="F52" s="732">
        <f t="shared" si="6"/>
        <v>351.83545115226178</v>
      </c>
      <c r="G52" s="732">
        <f t="shared" si="6"/>
        <v>0</v>
      </c>
      <c r="H52" s="732">
        <f t="shared" si="6"/>
        <v>134514.48528881435</v>
      </c>
      <c r="I52" s="732">
        <f t="shared" si="6"/>
        <v>29093.894514395539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164225.70997752182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177.99588199520181</v>
      </c>
      <c r="D54" s="703">
        <f ca="1">+landbouw!C12</f>
        <v>158.88403361344541</v>
      </c>
      <c r="E54" s="703">
        <f>+landbouw!D12</f>
        <v>57.388185673237977</v>
      </c>
      <c r="F54" s="703">
        <f>+landbouw!E12</f>
        <v>5.5799271878225918</v>
      </c>
      <c r="G54" s="703">
        <f>+landbouw!F12</f>
        <v>930.21395541162019</v>
      </c>
      <c r="H54" s="703">
        <f>+landbouw!G12</f>
        <v>0</v>
      </c>
      <c r="I54" s="703">
        <f>+landbouw!H12</f>
        <v>0</v>
      </c>
      <c r="J54" s="703">
        <f>+landbouw!I12</f>
        <v>0</v>
      </c>
      <c r="K54" s="703">
        <f>+landbouw!J12</f>
        <v>42.890907378424082</v>
      </c>
      <c r="L54" s="703">
        <f>+landbouw!K12</f>
        <v>0</v>
      </c>
      <c r="M54" s="703">
        <f>+landbouw!L12</f>
        <v>0</v>
      </c>
      <c r="N54" s="703">
        <f>+landbouw!M12</f>
        <v>0</v>
      </c>
      <c r="O54" s="703">
        <f>+landbouw!N12</f>
        <v>0</v>
      </c>
      <c r="P54" s="703">
        <f>+landbouw!O12</f>
        <v>0</v>
      </c>
      <c r="Q54" s="704">
        <f>+landbouw!P12</f>
        <v>0</v>
      </c>
      <c r="R54" s="731">
        <f ca="1">SUM(C54:Q54)</f>
        <v>1372.9528912597521</v>
      </c>
    </row>
    <row r="55" spans="1:18" ht="15" thickBot="1">
      <c r="A55" s="825" t="s">
        <v>836</v>
      </c>
      <c r="B55" s="835"/>
      <c r="C55" s="703">
        <f ca="1">C25*'EF ele_warmte'!B12</f>
        <v>508.31580641292823</v>
      </c>
      <c r="D55" s="703"/>
      <c r="E55" s="703">
        <f>E25*EF_CO2_aardgas</f>
        <v>1584.4224742328847</v>
      </c>
      <c r="F55" s="703"/>
      <c r="G55" s="703"/>
      <c r="H55" s="703"/>
      <c r="I55" s="703"/>
      <c r="J55" s="703"/>
      <c r="K55" s="703"/>
      <c r="L55" s="703"/>
      <c r="M55" s="703"/>
      <c r="N55" s="703"/>
      <c r="O55" s="703"/>
      <c r="P55" s="703"/>
      <c r="Q55" s="704"/>
      <c r="R55" s="731">
        <f ca="1">SUM(C55:Q55)</f>
        <v>2092.7382806458131</v>
      </c>
    </row>
    <row r="56" spans="1:18" ht="15.75" thickBot="1">
      <c r="A56" s="823" t="s">
        <v>837</v>
      </c>
      <c r="B56" s="836"/>
      <c r="C56" s="732">
        <f ca="1">SUM(C54:C55)</f>
        <v>686.31168840813007</v>
      </c>
      <c r="D56" s="732">
        <f t="shared" ref="D56:Q56" ca="1" si="7">SUM(D54:D55)</f>
        <v>158.88403361344541</v>
      </c>
      <c r="E56" s="732">
        <f t="shared" si="7"/>
        <v>1641.8106599061227</v>
      </c>
      <c r="F56" s="732">
        <f t="shared" si="7"/>
        <v>5.5799271878225918</v>
      </c>
      <c r="G56" s="732">
        <f t="shared" si="7"/>
        <v>930.21395541162019</v>
      </c>
      <c r="H56" s="732">
        <f t="shared" si="7"/>
        <v>0</v>
      </c>
      <c r="I56" s="732">
        <f t="shared" si="7"/>
        <v>0</v>
      </c>
      <c r="J56" s="732">
        <f t="shared" si="7"/>
        <v>0</v>
      </c>
      <c r="K56" s="732">
        <f t="shared" si="7"/>
        <v>42.890907378424082</v>
      </c>
      <c r="L56" s="732">
        <f t="shared" si="7"/>
        <v>0</v>
      </c>
      <c r="M56" s="732">
        <f t="shared" si="7"/>
        <v>0</v>
      </c>
      <c r="N56" s="732">
        <f t="shared" si="7"/>
        <v>0</v>
      </c>
      <c r="O56" s="732">
        <f t="shared" si="7"/>
        <v>0</v>
      </c>
      <c r="P56" s="732">
        <f t="shared" si="7"/>
        <v>0</v>
      </c>
      <c r="Q56" s="733">
        <f t="shared" si="7"/>
        <v>0</v>
      </c>
      <c r="R56" s="734">
        <f ca="1">SUM(R54:R55)</f>
        <v>3465.6911719055652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34720.6515898906</v>
      </c>
      <c r="D61" s="740">
        <f t="shared" ref="D61:Q61" ca="1" si="8">D46+D52+D56</f>
        <v>158.88403361344541</v>
      </c>
      <c r="E61" s="740">
        <f t="shared" ca="1" si="8"/>
        <v>68446.267487018456</v>
      </c>
      <c r="F61" s="740">
        <f t="shared" si="8"/>
        <v>2304.4728133273093</v>
      </c>
      <c r="G61" s="740">
        <f t="shared" ca="1" si="8"/>
        <v>16655.304263779388</v>
      </c>
      <c r="H61" s="740">
        <f t="shared" si="8"/>
        <v>134514.48528881435</v>
      </c>
      <c r="I61" s="740">
        <f t="shared" si="8"/>
        <v>29093.894514395539</v>
      </c>
      <c r="J61" s="740">
        <f t="shared" si="8"/>
        <v>0</v>
      </c>
      <c r="K61" s="740">
        <f t="shared" si="8"/>
        <v>68.443792649799491</v>
      </c>
      <c r="L61" s="740">
        <f t="shared" si="8"/>
        <v>0</v>
      </c>
      <c r="M61" s="740">
        <f t="shared" ca="1" si="8"/>
        <v>0</v>
      </c>
      <c r="N61" s="740">
        <f t="shared" si="8"/>
        <v>0</v>
      </c>
      <c r="O61" s="740">
        <f t="shared" ca="1" si="8"/>
        <v>0</v>
      </c>
      <c r="P61" s="740">
        <f t="shared" si="8"/>
        <v>0</v>
      </c>
      <c r="Q61" s="740">
        <f t="shared" si="8"/>
        <v>0</v>
      </c>
      <c r="R61" s="740">
        <f ca="1">R46+R52+R56</f>
        <v>285962.40378348884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0.21283938624015741</v>
      </c>
      <c r="D63" s="781">
        <f t="shared" ca="1" si="9"/>
        <v>0.23764705882352946</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6058.9953718171982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468</v>
      </c>
      <c r="D76" s="1034">
        <f>'lokale energieproductie'!C8</f>
        <v>550.58823529411779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111.21882352941181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6058.9953718171982</v>
      </c>
      <c r="C78" s="755">
        <f>SUM(C72:C77)</f>
        <v>468</v>
      </c>
      <c r="D78" s="756">
        <f t="shared" ref="D78:H78" si="10">SUM(D76:D77)</f>
        <v>550.58823529411779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111.21882352941181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668.57142857142856</v>
      </c>
      <c r="D87" s="777">
        <f>'lokale energieproductie'!C17</f>
        <v>786.55462184873966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158.88403361344541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668.57142857142856</v>
      </c>
      <c r="D90" s="755">
        <f t="shared" ref="D90:H90" si="12">SUM(D87:D89)</f>
        <v>786.55462184873966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158.88403361344541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6058.9953718171982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468</v>
      </c>
      <c r="C8" s="570">
        <f>B101</f>
        <v>550.58823529411779</v>
      </c>
      <c r="D8" s="1044"/>
      <c r="E8" s="1044">
        <f>E101</f>
        <v>0</v>
      </c>
      <c r="F8" s="1045"/>
      <c r="G8" s="571"/>
      <c r="H8" s="1044">
        <f>I101</f>
        <v>0</v>
      </c>
      <c r="I8" s="1044">
        <f>G101+F101</f>
        <v>0</v>
      </c>
      <c r="J8" s="1044">
        <f>H101+D101+C101</f>
        <v>0</v>
      </c>
      <c r="K8" s="1044"/>
      <c r="L8" s="1044"/>
      <c r="M8" s="1044"/>
      <c r="N8" s="572"/>
      <c r="O8" s="573">
        <f>C8*$C$12+D8*$D$12+E8*$E$12+F8*$F$12+G8*$G$12+H8*$H$12+I8*$I$12+J8*$J$12</f>
        <v>111.21882352941181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6526.9953718171982</v>
      </c>
      <c r="C10" s="583">
        <f t="shared" ref="C10:L10" si="0">SUM(C8:C9)</f>
        <v>550.58823529411779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111.21882352941181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668.57142857142856</v>
      </c>
      <c r="C17" s="595">
        <f>B102</f>
        <v>786.55462184873966</v>
      </c>
      <c r="D17" s="596"/>
      <c r="E17" s="596">
        <f>E102</f>
        <v>0</v>
      </c>
      <c r="F17" s="1050"/>
      <c r="G17" s="597"/>
      <c r="H17" s="595">
        <f>I102</f>
        <v>0</v>
      </c>
      <c r="I17" s="596">
        <f>G102+F102</f>
        <v>0</v>
      </c>
      <c r="J17" s="596">
        <f>H102+D102+C102</f>
        <v>0</v>
      </c>
      <c r="K17" s="596"/>
      <c r="L17" s="596"/>
      <c r="M17" s="596"/>
      <c r="N17" s="1051"/>
      <c r="O17" s="598">
        <f>C17*$C$22+E17*$E$22+H17*$H$22+I17*$I$22+J17*$J$22+D17*$D$22+F17*$F$22+G17*$G$22+K17*$K$22+L17*$L$22</f>
        <v>158.88403361344541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668.57142857142856</v>
      </c>
      <c r="C20" s="582">
        <f>SUM(C17:C19)</f>
        <v>786.55462184873966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158.88403361344541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23016</v>
      </c>
      <c r="C28" s="796">
        <v>1700</v>
      </c>
      <c r="D28" s="653"/>
      <c r="E28" s="652"/>
      <c r="F28" s="652" t="s">
        <v>881</v>
      </c>
      <c r="G28" s="652" t="s">
        <v>882</v>
      </c>
      <c r="H28" s="652" t="s">
        <v>883</v>
      </c>
      <c r="I28" s="652" t="s">
        <v>884</v>
      </c>
      <c r="J28" s="795">
        <v>42034</v>
      </c>
      <c r="K28" s="795">
        <v>41989</v>
      </c>
      <c r="L28" s="652" t="s">
        <v>885</v>
      </c>
      <c r="M28" s="652">
        <v>104</v>
      </c>
      <c r="N28" s="652">
        <v>468</v>
      </c>
      <c r="O28" s="652">
        <v>668.57142857142856</v>
      </c>
      <c r="P28" s="652">
        <v>1337.1428571428573</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104</v>
      </c>
      <c r="N58" s="610">
        <f>SUM(N28:N57)</f>
        <v>468</v>
      </c>
      <c r="O58" s="610">
        <f t="shared" ref="O58:W58" si="2">SUM(O28:O57)</f>
        <v>668.57142857142856</v>
      </c>
      <c r="P58" s="610">
        <f t="shared" si="2"/>
        <v>1337.1428571428573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104</v>
      </c>
      <c r="N61" s="615">
        <f t="shared" si="4"/>
        <v>468</v>
      </c>
      <c r="O61" s="615">
        <f t="shared" si="4"/>
        <v>668.57142857142856</v>
      </c>
      <c r="P61" s="615">
        <f t="shared" si="4"/>
        <v>1337.1428571428573</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550.58823529411779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786.55462184873966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68632.022741285415</v>
      </c>
      <c r="C4" s="477">
        <f>huishoudens!C8</f>
        <v>0</v>
      </c>
      <c r="D4" s="477">
        <f>huishoudens!D8</f>
        <v>194763.10538732909</v>
      </c>
      <c r="E4" s="477">
        <f>huishoudens!E8</f>
        <v>6343.301931557191</v>
      </c>
      <c r="F4" s="477">
        <f>huishoudens!F8</f>
        <v>44261.203670961848</v>
      </c>
      <c r="G4" s="477">
        <f>huishoudens!G8</f>
        <v>0</v>
      </c>
      <c r="H4" s="477">
        <f>huishoudens!H8</f>
        <v>0</v>
      </c>
      <c r="I4" s="477">
        <f>huishoudens!I8</f>
        <v>0</v>
      </c>
      <c r="J4" s="477">
        <f>huishoudens!J8</f>
        <v>0</v>
      </c>
      <c r="K4" s="477">
        <f>huishoudens!K8</f>
        <v>0</v>
      </c>
      <c r="L4" s="477">
        <f>huishoudens!L8</f>
        <v>0</v>
      </c>
      <c r="M4" s="477">
        <f>huishoudens!M8</f>
        <v>0</v>
      </c>
      <c r="N4" s="477">
        <f>huishoudens!N8</f>
        <v>13289.525794880239</v>
      </c>
      <c r="O4" s="477">
        <f>huishoudens!O8</f>
        <v>401.7766666666667</v>
      </c>
      <c r="P4" s="478">
        <f>huishoudens!P8</f>
        <v>1735.0666666666666</v>
      </c>
      <c r="Q4" s="479">
        <f>SUM(B4:P4)</f>
        <v>329426.00285934709</v>
      </c>
    </row>
    <row r="5" spans="1:17">
      <c r="A5" s="476" t="s">
        <v>156</v>
      </c>
      <c r="B5" s="477">
        <f ca="1">tertiair!B16</f>
        <v>49233.463745945708</v>
      </c>
      <c r="C5" s="477">
        <f ca="1">tertiair!C16</f>
        <v>0</v>
      </c>
      <c r="D5" s="477">
        <f ca="1">tertiair!D16</f>
        <v>73706.281361749527</v>
      </c>
      <c r="E5" s="477">
        <f>tertiair!E16</f>
        <v>727.92982320267629</v>
      </c>
      <c r="F5" s="477">
        <f ca="1">tertiair!F16</f>
        <v>8500.2528914522754</v>
      </c>
      <c r="G5" s="477">
        <f>tertiair!G16</f>
        <v>0</v>
      </c>
      <c r="H5" s="477">
        <f>tertiair!H16</f>
        <v>0</v>
      </c>
      <c r="I5" s="477">
        <f>tertiair!I16</f>
        <v>0</v>
      </c>
      <c r="J5" s="477">
        <f>tertiair!J16</f>
        <v>0.1066680749821183</v>
      </c>
      <c r="K5" s="477">
        <f>tertiair!K16</f>
        <v>0</v>
      </c>
      <c r="L5" s="477">
        <f ca="1">tertiair!L16</f>
        <v>0</v>
      </c>
      <c r="M5" s="477">
        <f>tertiair!M16</f>
        <v>0</v>
      </c>
      <c r="N5" s="477">
        <f ca="1">tertiair!N16</f>
        <v>4260.5415027870758</v>
      </c>
      <c r="O5" s="477">
        <f>tertiair!O16</f>
        <v>1.5633333333333335</v>
      </c>
      <c r="P5" s="478">
        <f>tertiair!P16</f>
        <v>95.333333333333343</v>
      </c>
      <c r="Q5" s="476">
        <f t="shared" ref="Q5:Q14" ca="1" si="0">SUM(B5:P5)</f>
        <v>136525.4726598789</v>
      </c>
    </row>
    <row r="6" spans="1:17">
      <c r="A6" s="476" t="s">
        <v>194</v>
      </c>
      <c r="B6" s="477">
        <f>'openbare verlichting'!B8</f>
        <v>2017.0909999999999</v>
      </c>
      <c r="C6" s="477"/>
      <c r="D6" s="477"/>
      <c r="E6" s="477"/>
      <c r="F6" s="477"/>
      <c r="G6" s="477"/>
      <c r="H6" s="477"/>
      <c r="I6" s="477"/>
      <c r="J6" s="477"/>
      <c r="K6" s="477"/>
      <c r="L6" s="477"/>
      <c r="M6" s="477"/>
      <c r="N6" s="477"/>
      <c r="O6" s="477"/>
      <c r="P6" s="478"/>
      <c r="Q6" s="476">
        <f t="shared" si="0"/>
        <v>2017.0909999999999</v>
      </c>
    </row>
    <row r="7" spans="1:17">
      <c r="A7" s="476" t="s">
        <v>112</v>
      </c>
      <c r="B7" s="477">
        <f>landbouw!B8</f>
        <v>836.29202817922101</v>
      </c>
      <c r="C7" s="477">
        <f>landbouw!C8</f>
        <v>668.57142857142856</v>
      </c>
      <c r="D7" s="477">
        <f>landbouw!D8</f>
        <v>284.09992907543551</v>
      </c>
      <c r="E7" s="477">
        <f>landbouw!E8</f>
        <v>24.581177038866041</v>
      </c>
      <c r="F7" s="477">
        <f>landbouw!F8</f>
        <v>3483.9473985453938</v>
      </c>
      <c r="G7" s="477">
        <f>landbouw!G8</f>
        <v>0</v>
      </c>
      <c r="H7" s="477">
        <f>landbouw!H8</f>
        <v>0</v>
      </c>
      <c r="I7" s="477">
        <f>landbouw!I8</f>
        <v>0</v>
      </c>
      <c r="J7" s="477">
        <f>landbouw!J8</f>
        <v>121.16075530628272</v>
      </c>
      <c r="K7" s="477">
        <f>landbouw!K8</f>
        <v>0</v>
      </c>
      <c r="L7" s="477">
        <f>landbouw!L8</f>
        <v>0</v>
      </c>
      <c r="M7" s="477">
        <f>landbouw!M8</f>
        <v>0</v>
      </c>
      <c r="N7" s="477">
        <f>landbouw!N8</f>
        <v>0</v>
      </c>
      <c r="O7" s="477">
        <f>landbouw!O8</f>
        <v>0</v>
      </c>
      <c r="P7" s="478">
        <f>landbouw!P8</f>
        <v>0</v>
      </c>
      <c r="Q7" s="476">
        <f t="shared" si="0"/>
        <v>5418.6527167166287</v>
      </c>
    </row>
    <row r="8" spans="1:17">
      <c r="A8" s="476" t="s">
        <v>635</v>
      </c>
      <c r="B8" s="477">
        <f>industrie!B18</f>
        <v>39734.775670147632</v>
      </c>
      <c r="C8" s="477">
        <f>industrie!C18</f>
        <v>0</v>
      </c>
      <c r="D8" s="477">
        <f>industrie!D18</f>
        <v>61235.774271417329</v>
      </c>
      <c r="E8" s="477">
        <f>industrie!E18</f>
        <v>1506.1137738182156</v>
      </c>
      <c r="F8" s="477">
        <f>industrie!F18</f>
        <v>6134.0127573153368</v>
      </c>
      <c r="G8" s="477">
        <f>industrie!G18</f>
        <v>0</v>
      </c>
      <c r="H8" s="477">
        <f>industrie!H18</f>
        <v>0</v>
      </c>
      <c r="I8" s="477">
        <f>industrie!I18</f>
        <v>0</v>
      </c>
      <c r="J8" s="477">
        <f>industrie!J18</f>
        <v>72.076623652067056</v>
      </c>
      <c r="K8" s="477">
        <f>industrie!K18</f>
        <v>0</v>
      </c>
      <c r="L8" s="477">
        <f>industrie!L18</f>
        <v>0</v>
      </c>
      <c r="M8" s="477">
        <f>industrie!M18</f>
        <v>0</v>
      </c>
      <c r="N8" s="477">
        <f>industrie!N18</f>
        <v>6348.1236820028662</v>
      </c>
      <c r="O8" s="477">
        <f>industrie!O18</f>
        <v>0</v>
      </c>
      <c r="P8" s="478">
        <f>industrie!P18</f>
        <v>0</v>
      </c>
      <c r="Q8" s="476">
        <f t="shared" si="0"/>
        <v>115030.87677835346</v>
      </c>
    </row>
    <row r="9" spans="1:17" s="482" customFormat="1">
      <c r="A9" s="480" t="s">
        <v>561</v>
      </c>
      <c r="B9" s="481">
        <f>transport!B14</f>
        <v>288.85829485598401</v>
      </c>
      <c r="C9" s="481">
        <f>transport!C14</f>
        <v>0</v>
      </c>
      <c r="D9" s="481">
        <f>transport!D14</f>
        <v>1009.9717869908218</v>
      </c>
      <c r="E9" s="481">
        <f>transport!E14</f>
        <v>1549.9359081597436</v>
      </c>
      <c r="F9" s="481">
        <f>transport!F14</f>
        <v>0</v>
      </c>
      <c r="G9" s="481">
        <f>transport!G14</f>
        <v>496569.39633105113</v>
      </c>
      <c r="H9" s="481">
        <f>transport!H14</f>
        <v>116842.9498570102</v>
      </c>
      <c r="I9" s="481">
        <f>transport!I14</f>
        <v>0</v>
      </c>
      <c r="J9" s="481">
        <f>transport!J14</f>
        <v>0</v>
      </c>
      <c r="K9" s="481">
        <f>transport!K14</f>
        <v>0</v>
      </c>
      <c r="L9" s="481">
        <f>transport!L14</f>
        <v>0</v>
      </c>
      <c r="M9" s="481">
        <f>transport!M14</f>
        <v>32459.087190062699</v>
      </c>
      <c r="N9" s="481">
        <f>transport!N14</f>
        <v>0</v>
      </c>
      <c r="O9" s="481">
        <f>transport!O14</f>
        <v>0</v>
      </c>
      <c r="P9" s="481">
        <f>transport!P14</f>
        <v>0</v>
      </c>
      <c r="Q9" s="480">
        <f>SUM(B9:P9)</f>
        <v>648720.19936813065</v>
      </c>
    </row>
    <row r="10" spans="1:17">
      <c r="A10" s="476" t="s">
        <v>551</v>
      </c>
      <c r="B10" s="477">
        <f>transport!B54</f>
        <v>0</v>
      </c>
      <c r="C10" s="477">
        <f>transport!C54</f>
        <v>0</v>
      </c>
      <c r="D10" s="477">
        <f>transport!D54</f>
        <v>0</v>
      </c>
      <c r="E10" s="477">
        <f>transport!E54</f>
        <v>0</v>
      </c>
      <c r="F10" s="477">
        <f>transport!F54</f>
        <v>0</v>
      </c>
      <c r="G10" s="477">
        <f>transport!G54</f>
        <v>7230.17403904001</v>
      </c>
      <c r="H10" s="477">
        <f>transport!H54</f>
        <v>0</v>
      </c>
      <c r="I10" s="477">
        <f>transport!I54</f>
        <v>0</v>
      </c>
      <c r="J10" s="477">
        <f>transport!J54</f>
        <v>0</v>
      </c>
      <c r="K10" s="477">
        <f>transport!K54</f>
        <v>0</v>
      </c>
      <c r="L10" s="477">
        <f>transport!L54</f>
        <v>0</v>
      </c>
      <c r="M10" s="477">
        <f>transport!M54</f>
        <v>410.64196726190346</v>
      </c>
      <c r="N10" s="477">
        <f>transport!N54</f>
        <v>0</v>
      </c>
      <c r="O10" s="477">
        <f>transport!O54</f>
        <v>0</v>
      </c>
      <c r="P10" s="478">
        <f>transport!P54</f>
        <v>0</v>
      </c>
      <c r="Q10" s="476">
        <f t="shared" si="0"/>
        <v>7640.8160063019131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2388.2600649833198</v>
      </c>
      <c r="C14" s="484"/>
      <c r="D14" s="484">
        <f>'SEAP template'!E25</f>
        <v>7843.6756150142801</v>
      </c>
      <c r="E14" s="484"/>
      <c r="F14" s="484"/>
      <c r="G14" s="484"/>
      <c r="H14" s="484"/>
      <c r="I14" s="484"/>
      <c r="J14" s="484"/>
      <c r="K14" s="484"/>
      <c r="L14" s="484"/>
      <c r="M14" s="484"/>
      <c r="N14" s="484"/>
      <c r="O14" s="484"/>
      <c r="P14" s="485"/>
      <c r="Q14" s="476">
        <f t="shared" si="0"/>
        <v>10231.935679997599</v>
      </c>
    </row>
    <row r="15" spans="1:17" s="486" customFormat="1">
      <c r="A15" s="1039" t="s">
        <v>555</v>
      </c>
      <c r="B15" s="987">
        <f ca="1">SUM(B4:B14)</f>
        <v>163130.76354539729</v>
      </c>
      <c r="C15" s="987">
        <f t="shared" ref="C15:Q15" ca="1" si="1">SUM(C4:C14)</f>
        <v>668.57142857142856</v>
      </c>
      <c r="D15" s="987">
        <f t="shared" ca="1" si="1"/>
        <v>338842.90835157654</v>
      </c>
      <c r="E15" s="987">
        <f t="shared" si="1"/>
        <v>10151.862613776691</v>
      </c>
      <c r="F15" s="987">
        <f t="shared" ca="1" si="1"/>
        <v>62379.416718274857</v>
      </c>
      <c r="G15" s="987">
        <f t="shared" si="1"/>
        <v>503799.57037009113</v>
      </c>
      <c r="H15" s="987">
        <f t="shared" si="1"/>
        <v>116842.9498570102</v>
      </c>
      <c r="I15" s="987">
        <f t="shared" si="1"/>
        <v>0</v>
      </c>
      <c r="J15" s="987">
        <f t="shared" si="1"/>
        <v>193.34404703333189</v>
      </c>
      <c r="K15" s="987">
        <f t="shared" si="1"/>
        <v>0</v>
      </c>
      <c r="L15" s="987">
        <f t="shared" ca="1" si="1"/>
        <v>0</v>
      </c>
      <c r="M15" s="987">
        <f t="shared" si="1"/>
        <v>32869.729157324604</v>
      </c>
      <c r="N15" s="987">
        <f t="shared" ca="1" si="1"/>
        <v>23898.19097967018</v>
      </c>
      <c r="O15" s="987">
        <f t="shared" si="1"/>
        <v>403.34000000000003</v>
      </c>
      <c r="P15" s="987">
        <f t="shared" si="1"/>
        <v>1830.3999999999999</v>
      </c>
      <c r="Q15" s="987">
        <f t="shared" ca="1" si="1"/>
        <v>1255011.047068726</v>
      </c>
    </row>
    <row r="17" spans="1:17">
      <c r="A17" s="487" t="s">
        <v>556</v>
      </c>
      <c r="B17" s="786">
        <f ca="1">huishoudens!B10</f>
        <v>0.21283938624015741</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14607.597596675714</v>
      </c>
      <c r="C22" s="477">
        <f t="shared" ref="C22:C32" ca="1" si="3">C4*$C$17</f>
        <v>0</v>
      </c>
      <c r="D22" s="477">
        <f t="shared" ref="D22:D32" si="4">D4*$D$17</f>
        <v>39342.147288240478</v>
      </c>
      <c r="E22" s="477">
        <f t="shared" ref="E22:E32" si="5">E4*$E$17</f>
        <v>1439.9295384634825</v>
      </c>
      <c r="F22" s="477">
        <f t="shared" ref="F22:F32" si="6">F4*$F$17</f>
        <v>11817.741380146814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67207.415803526485</v>
      </c>
    </row>
    <row r="23" spans="1:17">
      <c r="A23" s="476" t="s">
        <v>156</v>
      </c>
      <c r="B23" s="477">
        <f t="shared" ca="1" si="2"/>
        <v>10478.820206164126</v>
      </c>
      <c r="C23" s="477">
        <f t="shared" ca="1" si="3"/>
        <v>0</v>
      </c>
      <c r="D23" s="477">
        <f t="shared" ca="1" si="4"/>
        <v>14888.668835073406</v>
      </c>
      <c r="E23" s="477">
        <f t="shared" si="5"/>
        <v>165.24006986700752</v>
      </c>
      <c r="F23" s="477">
        <f t="shared" ca="1" si="6"/>
        <v>2269.5675220177577</v>
      </c>
      <c r="G23" s="477">
        <f t="shared" si="7"/>
        <v>0</v>
      </c>
      <c r="H23" s="477">
        <f t="shared" si="8"/>
        <v>0</v>
      </c>
      <c r="I23" s="477">
        <f t="shared" si="9"/>
        <v>0</v>
      </c>
      <c r="J23" s="477">
        <f t="shared" si="10"/>
        <v>3.7760498543669876E-2</v>
      </c>
      <c r="K23" s="477">
        <f t="shared" si="11"/>
        <v>0</v>
      </c>
      <c r="L23" s="477">
        <f t="shared" ca="1" si="12"/>
        <v>0</v>
      </c>
      <c r="M23" s="477">
        <f t="shared" si="13"/>
        <v>0</v>
      </c>
      <c r="N23" s="477">
        <f t="shared" ca="1" si="14"/>
        <v>0</v>
      </c>
      <c r="O23" s="477">
        <f t="shared" si="15"/>
        <v>0</v>
      </c>
      <c r="P23" s="478">
        <f t="shared" si="16"/>
        <v>0</v>
      </c>
      <c r="Q23" s="476">
        <f t="shared" ref="Q23:Q32" ca="1" si="17">SUM(B23:P23)</f>
        <v>27802.33439362084</v>
      </c>
    </row>
    <row r="24" spans="1:17">
      <c r="A24" s="476" t="s">
        <v>194</v>
      </c>
      <c r="B24" s="477">
        <f t="shared" ca="1" si="2"/>
        <v>429.31641043054532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429.31641043054532</v>
      </c>
    </row>
    <row r="25" spans="1:17">
      <c r="A25" s="476" t="s">
        <v>112</v>
      </c>
      <c r="B25" s="477">
        <f t="shared" ca="1" si="2"/>
        <v>177.99588199520181</v>
      </c>
      <c r="C25" s="477">
        <f t="shared" ca="1" si="3"/>
        <v>158.88403361344541</v>
      </c>
      <c r="D25" s="477">
        <f t="shared" si="4"/>
        <v>57.388185673237977</v>
      </c>
      <c r="E25" s="477">
        <f t="shared" si="5"/>
        <v>5.5799271878225918</v>
      </c>
      <c r="F25" s="477">
        <f t="shared" si="6"/>
        <v>930.21395541162019</v>
      </c>
      <c r="G25" s="477">
        <f t="shared" si="7"/>
        <v>0</v>
      </c>
      <c r="H25" s="477">
        <f t="shared" si="8"/>
        <v>0</v>
      </c>
      <c r="I25" s="477">
        <f t="shared" si="9"/>
        <v>0</v>
      </c>
      <c r="J25" s="477">
        <f t="shared" si="10"/>
        <v>42.890907378424082</v>
      </c>
      <c r="K25" s="477">
        <f t="shared" si="11"/>
        <v>0</v>
      </c>
      <c r="L25" s="477">
        <f t="shared" si="12"/>
        <v>0</v>
      </c>
      <c r="M25" s="477">
        <f t="shared" si="13"/>
        <v>0</v>
      </c>
      <c r="N25" s="477">
        <f t="shared" si="14"/>
        <v>0</v>
      </c>
      <c r="O25" s="477">
        <f t="shared" si="15"/>
        <v>0</v>
      </c>
      <c r="P25" s="478">
        <f t="shared" si="16"/>
        <v>0</v>
      </c>
      <c r="Q25" s="476">
        <f t="shared" ca="1" si="17"/>
        <v>1372.9528912597521</v>
      </c>
    </row>
    <row r="26" spans="1:17">
      <c r="A26" s="476" t="s">
        <v>635</v>
      </c>
      <c r="B26" s="477">
        <f t="shared" ca="1" si="2"/>
        <v>8457.1252660245609</v>
      </c>
      <c r="C26" s="477">
        <f t="shared" ca="1" si="3"/>
        <v>0</v>
      </c>
      <c r="D26" s="477">
        <f t="shared" si="4"/>
        <v>12369.626402826301</v>
      </c>
      <c r="E26" s="477">
        <f t="shared" si="5"/>
        <v>341.88782665673494</v>
      </c>
      <c r="F26" s="477">
        <f t="shared" si="6"/>
        <v>1637.781406203195</v>
      </c>
      <c r="G26" s="477">
        <f t="shared" si="7"/>
        <v>0</v>
      </c>
      <c r="H26" s="477">
        <f t="shared" si="8"/>
        <v>0</v>
      </c>
      <c r="I26" s="477">
        <f t="shared" si="9"/>
        <v>0</v>
      </c>
      <c r="J26" s="477">
        <f t="shared" si="10"/>
        <v>25.515124772831737</v>
      </c>
      <c r="K26" s="477">
        <f t="shared" si="11"/>
        <v>0</v>
      </c>
      <c r="L26" s="477">
        <f t="shared" si="12"/>
        <v>0</v>
      </c>
      <c r="M26" s="477">
        <f t="shared" si="13"/>
        <v>0</v>
      </c>
      <c r="N26" s="477">
        <f t="shared" si="14"/>
        <v>0</v>
      </c>
      <c r="O26" s="477">
        <f t="shared" si="15"/>
        <v>0</v>
      </c>
      <c r="P26" s="478">
        <f t="shared" si="16"/>
        <v>0</v>
      </c>
      <c r="Q26" s="476">
        <f t="shared" ca="1" si="17"/>
        <v>22831.936026483621</v>
      </c>
    </row>
    <row r="27" spans="1:17" s="482" customFormat="1">
      <c r="A27" s="480" t="s">
        <v>561</v>
      </c>
      <c r="B27" s="780">
        <f t="shared" ca="1" si="2"/>
        <v>61.480422187526059</v>
      </c>
      <c r="C27" s="481">
        <f t="shared" ca="1" si="3"/>
        <v>0</v>
      </c>
      <c r="D27" s="481">
        <f t="shared" si="4"/>
        <v>204.014300972146</v>
      </c>
      <c r="E27" s="481">
        <f t="shared" si="5"/>
        <v>351.83545115226178</v>
      </c>
      <c r="F27" s="481">
        <f t="shared" si="6"/>
        <v>0</v>
      </c>
      <c r="G27" s="481">
        <f t="shared" si="7"/>
        <v>132584.02882039067</v>
      </c>
      <c r="H27" s="481">
        <f t="shared" si="8"/>
        <v>29093.894514395539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162295.25350909814</v>
      </c>
    </row>
    <row r="28" spans="1:17">
      <c r="A28" s="476" t="s">
        <v>551</v>
      </c>
      <c r="B28" s="477">
        <f t="shared" ca="1" si="2"/>
        <v>0</v>
      </c>
      <c r="C28" s="477">
        <f t="shared" ca="1" si="3"/>
        <v>0</v>
      </c>
      <c r="D28" s="477">
        <f t="shared" si="4"/>
        <v>0</v>
      </c>
      <c r="E28" s="477">
        <f t="shared" si="5"/>
        <v>0</v>
      </c>
      <c r="F28" s="477">
        <f t="shared" si="6"/>
        <v>0</v>
      </c>
      <c r="G28" s="477">
        <f t="shared" si="7"/>
        <v>1930.4564684236827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1930.4564684236827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508.31580641292823</v>
      </c>
      <c r="C32" s="477">
        <f t="shared" ca="1" si="3"/>
        <v>0</v>
      </c>
      <c r="D32" s="477">
        <f t="shared" si="4"/>
        <v>1584.4224742328847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2092.7382806458131</v>
      </c>
    </row>
    <row r="33" spans="1:17" s="486" customFormat="1">
      <c r="A33" s="1039" t="s">
        <v>555</v>
      </c>
      <c r="B33" s="987">
        <f ca="1">SUM(B22:B32)</f>
        <v>34720.6515898906</v>
      </c>
      <c r="C33" s="987">
        <f t="shared" ref="C33:Q33" ca="1" si="18">SUM(C22:C32)</f>
        <v>158.88403361344541</v>
      </c>
      <c r="D33" s="987">
        <f t="shared" ca="1" si="18"/>
        <v>68446.267487018456</v>
      </c>
      <c r="E33" s="987">
        <f t="shared" si="18"/>
        <v>2304.4728133273093</v>
      </c>
      <c r="F33" s="987">
        <f t="shared" ca="1" si="18"/>
        <v>16655.304263779388</v>
      </c>
      <c r="G33" s="987">
        <f t="shared" si="18"/>
        <v>134514.48528881435</v>
      </c>
      <c r="H33" s="987">
        <f t="shared" si="18"/>
        <v>29093.894514395539</v>
      </c>
      <c r="I33" s="987">
        <f t="shared" si="18"/>
        <v>0</v>
      </c>
      <c r="J33" s="987">
        <f t="shared" si="18"/>
        <v>68.443792649799491</v>
      </c>
      <c r="K33" s="987">
        <f t="shared" si="18"/>
        <v>0</v>
      </c>
      <c r="L33" s="987">
        <f t="shared" ca="1" si="18"/>
        <v>0</v>
      </c>
      <c r="M33" s="987">
        <f t="shared" si="18"/>
        <v>0</v>
      </c>
      <c r="N33" s="987">
        <f t="shared" ca="1" si="18"/>
        <v>0</v>
      </c>
      <c r="O33" s="987">
        <f t="shared" si="18"/>
        <v>0</v>
      </c>
      <c r="P33" s="987">
        <f t="shared" si="18"/>
        <v>0</v>
      </c>
      <c r="Q33" s="987">
        <f t="shared" ca="1" si="18"/>
        <v>285962.40378348884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6058.9953718171982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468</v>
      </c>
      <c r="D8" s="1056">
        <f>'SEAP template'!D76</f>
        <v>550.58823529411779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111.21882352941181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6058.9953718171982</v>
      </c>
      <c r="C10" s="1060">
        <f>SUM(C4:C9)</f>
        <v>468</v>
      </c>
      <c r="D10" s="1060">
        <f t="shared" ref="D10:H10" si="0">SUM(D8:D9)</f>
        <v>550.58823529411779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111.21882352941181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0.21283938624015741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668.57142857142856</v>
      </c>
      <c r="D17" s="1057">
        <f>'SEAP template'!D87</f>
        <v>786.55462184873966</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158.88403361344541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668.57142857142856</v>
      </c>
      <c r="D20" s="1060">
        <f t="shared" ref="D20:H20" si="2">SUM(D17:D19)</f>
        <v>786.55462184873966</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158.88403361344541</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0.21283938624015741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2019-08-12T08:32:08Z</dcterms:modified>
</cp:coreProperties>
</file>