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G19"/>
  <c r="H89" i="14" s="1"/>
  <c r="H19" i="61" s="1"/>
  <c r="F19" i="18"/>
  <c r="G89" i="14" s="1"/>
  <c r="G19" i="61" s="1"/>
  <c r="E19" i="18"/>
  <c r="F89" i="14" s="1"/>
  <c r="F19" i="61" s="1"/>
  <c r="D19" i="18"/>
  <c r="C19"/>
  <c r="D89" i="14" s="1"/>
  <c r="D19" i="61" s="1"/>
  <c r="B19" i="18"/>
  <c r="N18"/>
  <c r="L88" i="14" s="1"/>
  <c r="M18" i="18"/>
  <c r="L18"/>
  <c r="K18"/>
  <c r="J18"/>
  <c r="I18"/>
  <c r="H18"/>
  <c r="G18"/>
  <c r="H88" i="14" s="1"/>
  <c r="H18" i="61" s="1"/>
  <c r="F18" i="18"/>
  <c r="G88" i="14" s="1"/>
  <c r="G18" i="61" s="1"/>
  <c r="E18" i="18"/>
  <c r="D18"/>
  <c r="D20" s="1"/>
  <c r="C18"/>
  <c r="B18"/>
  <c r="L9"/>
  <c r="K9"/>
  <c r="N77" i="14" s="1"/>
  <c r="G9" i="18"/>
  <c r="G10" s="1"/>
  <c r="F9"/>
  <c r="F10" s="1"/>
  <c r="E9"/>
  <c r="D9"/>
  <c r="C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88" i="14"/>
  <c r="D18" i="61" s="1"/>
  <c r="B17" i="18"/>
  <c r="B20" s="1"/>
  <c r="G12"/>
  <c r="F12"/>
  <c r="E12"/>
  <c r="D12"/>
  <c r="C12"/>
  <c r="L10"/>
  <c r="K10"/>
  <c r="E77" i="14"/>
  <c r="E9" i="61" s="1"/>
  <c r="B8" i="18"/>
  <c r="B6"/>
  <c r="B74" i="14" s="1"/>
  <c r="B6" i="61" s="1"/>
  <c r="B5" i="18"/>
  <c r="B4"/>
  <c r="N6" i="17"/>
  <c r="B19" i="6"/>
  <c r="B18"/>
  <c r="B5"/>
  <c r="B6"/>
  <c r="C64" i="14" s="1"/>
  <c r="D14" i="48"/>
  <c r="Q14" s="1"/>
  <c r="B14"/>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89" i="14"/>
  <c r="O19" i="61" s="1"/>
  <c r="N89" i="14"/>
  <c r="N19" i="61" s="1"/>
  <c r="M89" i="14"/>
  <c r="M19" i="61" s="1"/>
  <c r="L89" i="14"/>
  <c r="L19" i="61" s="1"/>
  <c r="K89" i="14"/>
  <c r="K19" i="61" s="1"/>
  <c r="J89" i="14"/>
  <c r="J19" i="61" s="1"/>
  <c r="E89" i="14"/>
  <c r="E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Q26" s="1"/>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J19"/>
  <c r="I19"/>
  <c r="G19"/>
  <c r="G22" s="1"/>
  <c r="F19"/>
  <c r="E19"/>
  <c r="D19"/>
  <c r="Q48"/>
  <c r="P48"/>
  <c r="P52" s="1"/>
  <c r="O48"/>
  <c r="M48"/>
  <c r="L48"/>
  <c r="K48"/>
  <c r="J48"/>
  <c r="G48"/>
  <c r="D48"/>
  <c r="Q18"/>
  <c r="P18"/>
  <c r="O18"/>
  <c r="M18"/>
  <c r="M22" s="1"/>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N26"/>
  <c r="E25"/>
  <c r="C25"/>
  <c r="H26"/>
  <c r="L22"/>
  <c r="D5" i="17"/>
  <c r="N78" i="14" l="1"/>
  <c r="N9" i="61"/>
  <c r="N10" s="1"/>
  <c r="G10"/>
  <c r="L20"/>
  <c r="P22" i="14"/>
  <c r="F13" i="15"/>
  <c r="O22" i="14"/>
  <c r="G77"/>
  <c r="G9" i="61" s="1"/>
  <c r="H20"/>
  <c r="O10"/>
  <c r="G20"/>
  <c r="K20"/>
  <c r="Q11" i="48"/>
  <c r="O25"/>
  <c r="B98" i="18"/>
  <c r="G102" s="1"/>
  <c r="L78" i="14"/>
  <c r="L8" i="61"/>
  <c r="L10" s="1"/>
  <c r="K78" i="14"/>
  <c r="K8" i="61"/>
  <c r="K10" s="1"/>
  <c r="L90" i="14"/>
  <c r="L18" i="61"/>
  <c r="E88" i="14"/>
  <c r="O30" i="48"/>
  <c r="N20" i="61"/>
  <c r="K90" i="14"/>
  <c r="K22"/>
  <c r="I9" i="18"/>
  <c r="I77" i="14" s="1"/>
  <c r="I9" i="61" s="1"/>
  <c r="B10" i="18"/>
  <c r="M77" i="14"/>
  <c r="M9" i="61" s="1"/>
  <c r="H9" i="18"/>
  <c r="O9" s="1"/>
  <c r="L13" i="15"/>
  <c r="B13"/>
  <c r="H90" i="14"/>
  <c r="N13" i="15"/>
  <c r="F77" i="14"/>
  <c r="F9" i="61" s="1"/>
  <c r="I101" i="18"/>
  <c r="H8" s="1"/>
  <c r="E101"/>
  <c r="E8" s="1"/>
  <c r="G101"/>
  <c r="F101"/>
  <c r="H101"/>
  <c r="D101"/>
  <c r="C101"/>
  <c r="B101"/>
  <c r="C8" s="1"/>
  <c r="B102"/>
  <c r="C17" s="1"/>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O90" l="1"/>
  <c r="O18" i="61"/>
  <c r="O20" s="1"/>
  <c r="E90" i="14"/>
  <c r="E18" i="61"/>
  <c r="E20" s="1"/>
  <c r="I102" i="18"/>
  <c r="H17" s="1"/>
  <c r="H20" s="1"/>
  <c r="E102"/>
  <c r="E17" s="1"/>
  <c r="C102"/>
  <c r="I8"/>
  <c r="O8" s="1"/>
  <c r="O10" s="1"/>
  <c r="H78" i="14"/>
  <c r="H9" i="61"/>
  <c r="H10" s="1"/>
  <c r="H102" i="18"/>
  <c r="J17" s="1"/>
  <c r="D102"/>
  <c r="G78" i="14"/>
  <c r="B88"/>
  <c r="B18" i="61" s="1"/>
  <c r="B77" i="14"/>
  <c r="B9" i="61" s="1"/>
  <c r="Q77" i="14"/>
  <c r="P9" i="61" s="1"/>
  <c r="M87" i="14"/>
  <c r="J8" i="18"/>
  <c r="M76" i="14"/>
  <c r="H10" i="18"/>
  <c r="E20"/>
  <c r="F87" i="14"/>
  <c r="C77"/>
  <c r="C9" i="61" s="1"/>
  <c r="C20" i="18"/>
  <c r="D87" i="14"/>
  <c r="D17" i="61" s="1"/>
  <c r="D20" s="1"/>
  <c r="D76" i="14"/>
  <c r="D8" i="61" s="1"/>
  <c r="D10" s="1"/>
  <c r="C10" i="18"/>
  <c r="C88" i="14"/>
  <c r="C18" i="61" s="1"/>
  <c r="F76" i="14"/>
  <c r="E10" i="18"/>
  <c r="I17"/>
  <c r="I10"/>
  <c r="Q88" i="14"/>
  <c r="P18" i="61" s="1"/>
  <c r="AC15" i="5"/>
  <c r="M90" i="14" l="1"/>
  <c r="M17" i="61"/>
  <c r="M20" s="1"/>
  <c r="M78" i="14"/>
  <c r="M8" i="61"/>
  <c r="M10" s="1"/>
  <c r="I76" i="14"/>
  <c r="I8" i="61" s="1"/>
  <c r="I10" s="1"/>
  <c r="F78" i="14"/>
  <c r="F8" i="61"/>
  <c r="F10" s="1"/>
  <c r="F90" i="14"/>
  <c r="F17" i="61"/>
  <c r="F20" s="1"/>
  <c r="I78" i="14"/>
  <c r="Q76"/>
  <c r="D78"/>
  <c r="J87"/>
  <c r="J20" i="18"/>
  <c r="I87" i="14"/>
  <c r="I17" i="61" s="1"/>
  <c r="I20" s="1"/>
  <c r="I20" i="18"/>
  <c r="O17"/>
  <c r="O20" s="1"/>
  <c r="Q87" i="14"/>
  <c r="D90"/>
  <c r="J10" i="18"/>
  <c r="J76" i="14"/>
  <c r="D5" i="13"/>
  <c r="J78" i="14" l="1"/>
  <c r="J8" i="61"/>
  <c r="J10" s="1"/>
  <c r="J90" i="14"/>
  <c r="J17" i="61"/>
  <c r="J20" s="1"/>
  <c r="Q90" i="14"/>
  <c r="B17" i="6" s="1"/>
  <c r="P17" i="61"/>
  <c r="P20" s="1"/>
  <c r="Q78" i="14"/>
  <c r="B9" i="6" s="1"/>
  <c r="P8" i="61"/>
  <c r="P1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28"/>
  <c r="I30"/>
  <c r="I22"/>
  <c r="I32"/>
  <c r="I26"/>
  <c r="I29"/>
  <c r="I27"/>
  <c r="I31"/>
  <c r="I24"/>
  <c r="D11" i="14"/>
  <c r="C4" i="48"/>
  <c r="G23"/>
  <c r="G32"/>
  <c r="G30"/>
  <c r="G25"/>
  <c r="G22"/>
  <c r="G24"/>
  <c r="G26"/>
  <c r="G29"/>
  <c r="C11" i="14"/>
  <c r="B4" i="48"/>
  <c r="F24"/>
  <c r="F31"/>
  <c r="F30"/>
  <c r="F32"/>
  <c r="F27"/>
  <c r="F29"/>
  <c r="F28"/>
  <c r="N30"/>
  <c r="N32"/>
  <c r="N24"/>
  <c r="N31"/>
  <c r="N27"/>
  <c r="N28"/>
  <c r="N29"/>
  <c r="C19" i="14"/>
  <c r="B10" i="48"/>
  <c r="E29"/>
  <c r="E24"/>
  <c r="E32"/>
  <c r="E31"/>
  <c r="E30"/>
  <c r="E28"/>
  <c r="M29"/>
  <c r="M25"/>
  <c r="M26"/>
  <c r="M24"/>
  <c r="M30"/>
  <c r="M22"/>
  <c r="M32"/>
  <c r="M23"/>
  <c r="B8" i="9"/>
  <c r="B6" i="48" s="1"/>
  <c r="Q6" s="1"/>
  <c r="O4"/>
  <c r="P11" i="14"/>
  <c r="D4" i="48"/>
  <c r="D22" s="1"/>
  <c r="E11" i="14"/>
  <c r="H29" i="48"/>
  <c r="H32"/>
  <c r="H30"/>
  <c r="H28"/>
  <c r="H26"/>
  <c r="H25"/>
  <c r="H22"/>
  <c r="H24"/>
  <c r="H23"/>
  <c r="K5"/>
  <c r="L10" i="14"/>
  <c r="L16" s="1"/>
  <c r="L27" s="1"/>
  <c r="D30" i="48"/>
  <c r="D28"/>
  <c r="D32"/>
  <c r="D24"/>
  <c r="D29"/>
  <c r="D31"/>
  <c r="L29"/>
  <c r="L32"/>
  <c r="L28"/>
  <c r="L31"/>
  <c r="L27"/>
  <c r="L24"/>
  <c r="L22"/>
  <c r="L30"/>
  <c r="P5"/>
  <c r="P23" s="1"/>
  <c r="Q10" i="14"/>
  <c r="K32" i="48"/>
  <c r="K27"/>
  <c r="K24"/>
  <c r="K26"/>
  <c r="K31"/>
  <c r="K28"/>
  <c r="K25"/>
  <c r="K29"/>
  <c r="K22"/>
  <c r="K30"/>
  <c r="B7"/>
  <c r="C24" i="14"/>
  <c r="C26" s="1"/>
  <c r="J30" i="48"/>
  <c r="J32"/>
  <c r="J24"/>
  <c r="J29"/>
  <c r="J28"/>
  <c r="J31"/>
  <c r="J27"/>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D9" i="48"/>
  <c r="D27" s="1"/>
  <c r="E20" i="14"/>
  <c r="E22" s="1"/>
  <c r="O5" i="48"/>
  <c r="O23" s="1"/>
  <c r="P10" i="14"/>
  <c r="O22" i="48"/>
  <c r="B9"/>
  <c r="C20" i="14"/>
  <c r="J7" i="48"/>
  <c r="J25" s="1"/>
  <c r="K24" i="14"/>
  <c r="K26" s="1"/>
  <c r="F4" i="48"/>
  <c r="F22" s="1"/>
  <c r="G11" i="14"/>
  <c r="J10"/>
  <c r="J16" s="1"/>
  <c r="J27" s="1"/>
  <c r="J63" s="1"/>
  <c r="I5" i="48"/>
  <c r="P22"/>
  <c r="P33" s="1"/>
  <c r="P15"/>
  <c r="K33"/>
  <c r="L61" i="14"/>
  <c r="L63" s="1"/>
  <c r="E9" i="48"/>
  <c r="E27" s="1"/>
  <c r="F20" i="14"/>
  <c r="F22" s="1"/>
  <c r="G13" i="48"/>
  <c r="G31" s="1"/>
  <c r="H18" i="14"/>
  <c r="K23" i="48"/>
  <c r="K15"/>
  <c r="C22" i="14"/>
  <c r="J61"/>
  <c r="Q16"/>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G10" i="48" l="1"/>
  <c r="H19" i="14"/>
  <c r="E7" i="48"/>
  <c r="E25" s="1"/>
  <c r="F24" i="14"/>
  <c r="F26" s="1"/>
  <c r="M10" i="48"/>
  <c r="M28" s="1"/>
  <c r="N19" i="14"/>
  <c r="N22" s="1"/>
  <c r="N27" s="1"/>
  <c r="I15" i="48"/>
  <c r="I23"/>
  <c r="I33" s="1"/>
  <c r="E4"/>
  <c r="F11" i="14"/>
  <c r="R11" s="1"/>
  <c r="O8" i="48"/>
  <c r="P13" i="14"/>
  <c r="K11"/>
  <c r="J4" i="48"/>
  <c r="N4"/>
  <c r="N22" s="1"/>
  <c r="O11" i="14"/>
  <c r="P16"/>
  <c r="P27" s="1"/>
  <c r="Q63"/>
  <c r="M14" i="22"/>
  <c r="M9" i="48" s="1"/>
  <c r="I20" i="14"/>
  <c r="I22" s="1"/>
  <c r="I27" s="1"/>
  <c r="H9" i="48"/>
  <c r="N20" i="14"/>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J22" i="48" l="1"/>
  <c r="G9"/>
  <c r="H20" i="14"/>
  <c r="J5" i="48"/>
  <c r="J23" s="1"/>
  <c r="K10" i="14"/>
  <c r="E22" i="48"/>
  <c r="Q4"/>
  <c r="G28"/>
  <c r="Q10"/>
  <c r="M18" i="22"/>
  <c r="N50" i="14" s="1"/>
  <c r="N52" s="1"/>
  <c r="N61" s="1"/>
  <c r="F10"/>
  <c r="E5" i="48"/>
  <c r="E23" s="1"/>
  <c r="H22" i="14"/>
  <c r="H27" s="1"/>
  <c r="R19"/>
  <c r="R22" s="1"/>
  <c r="O26" i="48"/>
  <c r="O33" s="1"/>
  <c r="O15"/>
  <c r="M15"/>
  <c r="M27"/>
  <c r="M33" s="1"/>
  <c r="Q9"/>
  <c r="H15"/>
  <c r="H27"/>
  <c r="H33" s="1"/>
  <c r="N63" i="14"/>
  <c r="R20"/>
  <c r="R24"/>
  <c r="R26" s="1"/>
  <c r="N18" i="16"/>
  <c r="E20" i="15"/>
  <c r="F40" i="14" s="1"/>
  <c r="F18" i="16"/>
  <c r="J18"/>
  <c r="E18"/>
  <c r="G18" i="22"/>
  <c r="H50" i="14" s="1"/>
  <c r="H52" s="1"/>
  <c r="H61" s="1"/>
  <c r="H63" s="1"/>
  <c r="H18" i="22"/>
  <c r="I50" i="14" s="1"/>
  <c r="I52" s="1"/>
  <c r="I61" s="1"/>
  <c r="I63" s="1"/>
  <c r="K13" l="1"/>
  <c r="K16" s="1"/>
  <c r="K27" s="1"/>
  <c r="K63" s="1"/>
  <c r="J8" i="48"/>
  <c r="J26" s="1"/>
  <c r="J33" s="1"/>
  <c r="E15"/>
  <c r="E33"/>
  <c r="E8"/>
  <c r="E26" s="1"/>
  <c r="F13" i="14"/>
  <c r="F16" s="1"/>
  <c r="F27" s="1"/>
  <c r="F63" s="1"/>
  <c r="G27" i="48"/>
  <c r="G33" s="1"/>
  <c r="G15"/>
  <c r="N8"/>
  <c r="N26" s="1"/>
  <c r="O13" i="14"/>
  <c r="F8" i="48"/>
  <c r="G13" i="14"/>
  <c r="E22" i="16"/>
  <c r="F43" i="14" s="1"/>
  <c r="F46" s="1"/>
  <c r="F61" s="1"/>
  <c r="F22" i="16"/>
  <c r="G43" i="14" s="1"/>
  <c r="N22" i="16"/>
  <c r="O43" i="14" s="1"/>
  <c r="J22" i="16"/>
  <c r="K43" i="14" s="1"/>
  <c r="K46" s="1"/>
  <c r="K61" s="1"/>
  <c r="R13" l="1"/>
  <c r="J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<sst xmlns="http://schemas.openxmlformats.org/spreadsheetml/2006/main" count="2410" uniqueCount="899">
  <si>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</si>
  <si>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</si>
  <si>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</si>
  <si>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</si>
  <si>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</si>
  <si>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</si>
  <si>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</si>
  <si>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</si>
  <si>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</si>
  <si>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</si>
  <si>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</si>
  <si>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</si>
  <si>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</si>
  <si>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</si>
  <si>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</si>
  <si>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</si>
  <si>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</si>
  <si>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</si>
  <si>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</si>
  <si>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</si>
  <si>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</si>
  <si>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</si>
  <si>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</si>
  <si>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</si>
  <si>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</si>
  <si>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</si>
  <si>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</si>
  <si>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</si>
  <si>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</si>
  <si>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</si>
  <si>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</si>
  <si>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</si>
  <si>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</si>
  <si>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</si>
  <si>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</si>
  <si>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</si>
  <si>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</si>
  <si>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</si>
  <si>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</si>
  <si>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</si>
  <si>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</si>
  <si>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</si>
  <si>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</si>
  <si>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</si>
  <si>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</si>
  <si>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</si>
  <si>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</si>
  <si>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</si>
  <si>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</si>
  <si>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</si>
  <si>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</si>
  <si>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</si>
  <si>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</si>
  <si>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</si>
  <si>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</si>
  <si>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</si>
  <si>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</si>
  <si>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</si>
  <si>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</si>
  <si>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</si>
  <si>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</si>
  <si>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</si>
  <si>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</si>
  <si>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</si>
  <si>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</si>
  <si>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</si>
  <si>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</si>
  <si>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</si>
  <si>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</si>
  <si>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</si>
  <si>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</si>
  <si>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</si>
  <si>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</si>
  <si>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</si>
  <si>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</si>
  <si>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</si>
  <si>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</si>
  <si>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</si>
  <si>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</si>
  <si>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</si>
  <si>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</si>
  <si>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</si>
  <si>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</si>
  <si>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</si>
  <si>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</si>
  <si>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</si>
  <si>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</si>
  <si>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</si>
  <si>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</si>
  <si>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</si>
  <si>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</si>
  <si>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</si>
  <si>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</si>
  <si>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</si>
  <si>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</si>
  <si>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</si>
  <si>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</si>
  <si>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</si>
  <si>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</si>
  <si>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</si>
  <si>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</si>
  <si>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</si>
  <si>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</si>
  <si>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</si>
  <si>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</si>
  <si>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</si>
  <si>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</si>
  <si>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</si>
  <si>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</si>
  <si>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</si>
  <si>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</si>
  <si>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</si>
  <si>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</si>
  <si>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</si>
  <si>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</si>
  <si>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</si>
  <si>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</si>
  <si>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</si>
  <si>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</si>
  <si>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</si>
  <si>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</si>
  <si>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</si>
  <si>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</si>
  <si>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</si>
  <si>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</si>
  <si>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</si>
  <si>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</si>
  <si>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</si>
  <si>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</si>
  <si>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</si>
  <si>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</si>
  <si>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</si>
  <si>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</si>
  <si>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</si>
  <si>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</si>
  <si>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</si>
  <si>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</si>
  <si>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</si>
  <si>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</si>
  <si>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</si>
  <si>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</si>
  <si>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</si>
  <si>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</si>
  <si>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</si>
  <si>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</si>
  <si>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</si>
  <si>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</si>
  <si>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</si>
  <si>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</si>
  <si>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</si>
  <si>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</si>
  <si>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</si>
  <si>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</si>
  <si>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</si>
  <si>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</si>
  <si>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</si>
  <si>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</si>
  <si>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</si>
  <si>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</si>
  <si>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</si>
  <si>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</si>
  <si>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</si>
  <si>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</si>
  <si>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</si>
  <si>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</si>
  <si>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</si>
  <si>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</si>
  <si>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</si>
  <si>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</si>
  <si>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</si>
  <si>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</si>
  <si>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</si>
  <si>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</si>
  <si>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</si>
  <si>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</si>
  <si>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</si>
  <si>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</si>
  <si>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</si>
  <si>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</si>
  <si>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</si>
  <si>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</si>
  <si>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</si>
  <si>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</si>
  <si>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</si>
  <si>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</si>
  <si>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</si>
  <si>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</si>
  <si>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</si>
  <si>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</si>
  <si>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</si>
  <si>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</si>
  <si>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</si>
  <si>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</si>
  <si>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</si>
  <si>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</si>
  <si>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</si>
  <si>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</si>
  <si>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</si>
  <si>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</si>
  <si>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</si>
  <si>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</si>
  <si>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</si>
  <si>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</si>
  <si>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</si>
  <si>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</si>
  <si>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</si>
  <si>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</si>
  <si>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</si>
  <si>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</si>
  <si>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</si>
  <si>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</si>
  <si>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</si>
  <si>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</si>
  <si>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</si>
  <si>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</si>
  <si>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</si>
  <si>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</si>
  <si>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</si>
  <si>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</si>
  <si>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</si>
  <si>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</si>
  <si>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</si>
  <si>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</si>
  <si>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</si>
  <si>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</si>
  <si>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</si>
  <si>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</si>
  <si>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</si>
  <si>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</si>
  <si>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</si>
  <si>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</si>
  <si>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</si>
  <si>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</si>
  <si>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</si>
  <si>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</si>
  <si>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</si>
  <si>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</si>
  <si>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</si>
  <si>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</si>
  <si>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</si>
  <si>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</si>
  <si>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</si>
  <si>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</si>
  <si>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</si>
  <si>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</si>
  <si>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</si>
  <si>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</si>
  <si>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</si>
  <si>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</si>
  <si>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</si>
  <si>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</si>
  <si>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</si>
  <si>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</si>
  <si>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</si>
  <si>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</si>
  <si>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</si>
  <si>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</si>
  <si>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</si>
  <si>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</si>
  <si>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</si>
  <si>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</si>
  <si>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</si>
  <si>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</si>
  <si>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</si>
  <si>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</si>
  <si>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</si>
  <si>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</si>
  <si>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</si>
  <si>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</si>
  <si>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</si>
  <si>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</si>
  <si>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</si>
  <si>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</si>
  <si>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</si>
  <si>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</si>
  <si>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</si>
  <si>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</si>
  <si>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</si>
  <si>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</si>
  <si>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</si>
  <si>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</si>
  <si>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</si>
  <si>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</si>
  <si>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</si>
  <si>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</si>
  <si>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</si>
  <si>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</si>
  <si>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</si>
  <si>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</si>
  <si>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</si>
  <si>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</si>
  <si>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</si>
  <si>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</si>
  <si>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</si>
  <si>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</si>
  <si>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</si>
  <si>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</si>
  <si>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</si>
  <si>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</si>
  <si>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</si>
  <si>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</si>
  <si>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</si>
  <si>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</si>
  <si>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</si>
  <si>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</si>
  <si>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</si>
  <si>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</si>
  <si>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</si>
  <si>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</si>
  <si>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</si>
  <si>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</si>
  <si>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</si>
  <si>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</si>
  <si>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</si>
  <si>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</si>
  <si>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</si>
  <si>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</si>
  <si>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</si>
  <si>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</si>
  <si>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</si>
  <si>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</si>
  <si>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</si>
  <si>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</si>
  <si>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</si>
  <si>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</si>
  <si>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</si>
  <si>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</si>
  <si>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</si>
  <si>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</si>
  <si>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</si>
  <si>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</si>
  <si>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</si>
  <si>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</si>
  <si>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</si>
  <si>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</si>
  <si>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</si>
  <si>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</si>
  <si>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</si>
  <si>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</si>
  <si>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</si>
  <si>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</si>
  <si>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</si>
  <si>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</si>
  <si>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</si>
  <si>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</si>
  <si>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</si>
  <si>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</si>
  <si>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</si>
  <si>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</si>
  <si>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</si>
  <si>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</si>
  <si>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</si>
  <si>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</si>
  <si>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</si>
  <si>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</si>
  <si>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</si>
  <si>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</si>
  <si>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</si>
  <si>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</si>
  <si>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</si>
  <si>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</si>
  <si>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</si>
  <si>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</si>
  <si>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</si>
  <si>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</si>
  <si>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</si>
  <si>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</si>
  <si>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</si>
  <si>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</si>
  <si>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</si>
  <si>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</si>
  <si>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</si>
  <si>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</si>
  <si>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</si>
  <si>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</si>
  <si>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</si>
  <si>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</si>
  <si>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</si>
  <si>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</si>
  <si>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</si>
  <si>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</si>
  <si>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</si>
  <si>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</si>
  <si>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</si>
  <si>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</si>
  <si>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</si>
  <si>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</si>
  <si>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</si>
  <si>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</si>
  <si>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</si>
  <si>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</si>
  <si>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</si>
  <si>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</si>
  <si>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</si>
  <si>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</si>
  <si>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</si>
  <si>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</si>
  <si>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</si>
  <si>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</si>
  <si>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</si>
  <si>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</si>
  <si>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</si>
  <si>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</si>
  <si>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</si>
  <si>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</si>
  <si>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</si>
  <si>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</si>
  <si>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</si>
  <si>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</si>
  <si>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</si>
  <si>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</si>
  <si>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</si>
  <si>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</si>
  <si>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</si>
  <si>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</si>
  <si>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</si>
  <si>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</si>
  <si>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</si>
  <si>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</si>
  <si>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</si>
  <si>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</si>
  <si>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</si>
  <si>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</si>
  <si>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</si>
  <si>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</si>
  <si>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</si>
  <si>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</si>
  <si>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</si>
  <si>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</si>
  <si>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</si>
  <si>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</si>
  <si>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</si>
  <si>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</si>
  <si>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</si>
  <si>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</si>
  <si>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</si>
  <si>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</si>
  <si>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</si>
  <si>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</si>
  <si>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</si>
  <si>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</si>
  <si>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</si>
  <si>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</si>
  <si>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</si>
  <si>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</si>
  <si>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</si>
  <si>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</si>
  <si>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</si>
  <si>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</si>
  <si>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</si>
  <si>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</si>
  <si>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</si>
  <si>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</si>
  <si>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</si>
  <si>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</si>
  <si>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</si>
  <si>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</si>
  <si>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</si>
  <si>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</si>
  <si>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</si>
  <si>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</si>
  <si>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</si>
  <si>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</si>
  <si>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</si>
  <si>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</si>
  <si>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</si>
  <si>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</si>
  <si>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</si>
  <si>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</si>
  <si>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</si>
  <si>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</si>
  <si>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</si>
  <si>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</si>
  <si>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</si>
  <si>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</si>
  <si>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</si>
  <si>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</si>
  <si>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</si>
  <si>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</si>
  <si>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</si>
  <si>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</si>
  <si>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</si>
  <si>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</si>
  <si>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</si>
  <si>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</si>
  <si>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</si>
  <si>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</si>
  <si>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</si>
  <si>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</si>
  <si>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</si>
  <si>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</si>
  <si>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</si>
  <si>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</si>
  <si>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</si>
  <si>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</si>
  <si>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</si>
  <si>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</si>
  <si>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</si>
  <si>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</si>
  <si>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</si>
  <si>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</si>
  <si>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</si>
  <si>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</si>
  <si>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</si>
  <si>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</si>
  <si>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</si>
  <si>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</si>
  <si>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</si>
  <si>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</si>
  <si>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</si>
  <si>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</si>
  <si>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</si>
  <si>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</si>
  <si>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</si>
  <si>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</si>
  <si>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</si>
  <si>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</si>
  <si>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</si>
  <si>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</si>
  <si>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</si>
  <si>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</si>
  <si>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</si>
  <si>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</si>
  <si>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</si>
  <si>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</si>
  <si>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</si>
  <si>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</si>
  <si>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</si>
  <si>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</si>
  <si>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</si>
  <si>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</si>
  <si>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</si>
  <si>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</si>
  <si>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</si>
  <si>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</si>
  <si>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</si>
  <si>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</si>
  <si>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</si>
  <si>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</si>
  <si>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</si>
  <si>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</si>
  <si>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</si>
  <si>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</si>
  <si>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</si>
  <si>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</si>
  <si>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</si>
  <si>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</si>
  <si>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</si>
  <si>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</si>
  <si>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</si>
  <si>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</si>
  <si>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</si>
  <si>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</si>
  <si>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</si>
  <si>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</si>
  <si>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</si>
  <si>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</si>
  <si>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</si>
  <si>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</si>
  <si>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</si>
  <si>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</si>
  <si>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</si>
  <si>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</si>
  <si>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</si>
  <si>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</si>
  <si>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</si>
  <si>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</si>
  <si>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</si>
  <si>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</si>
  <si>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</si>
  <si>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</si>
  <si>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</si>
  <si>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</si>
  <si>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</si>
  <si>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</si>
  <si>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</si>
  <si>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</si>
  <si>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</si>
  <si>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</si>
  <si>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</si>
  <si>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</si>
  <si>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</si>
  <si>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</si>
  <si>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</si>
  <si>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</si>
  <si>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</si>
  <si>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</si>
  <si>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</si>
  <si>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</si>
  <si>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</si>
  <si>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</si>
  <si>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</si>
  <si>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</si>
  <si>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</si>
  <si>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</si>
  <si>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</si>
  <si>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</si>
  <si>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</si>
  <si>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</si>
  <si>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</si>
  <si>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</si>
  <si>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</si>
  <si>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</si>
  <si>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</si>
  <si>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</si>
  <si>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</si>
  <si>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</si>
  <si>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</si>
  <si>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</si>
  <si>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</si>
  <si>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</si>
  <si>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</si>
  <si>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</si>
  <si>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</si>
  <si>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</si>
  <si>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</si>
  <si>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</si>
  <si>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</si>
  <si>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</si>
  <si>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</si>
  <si>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</si>
  <si>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</si>
  <si>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</si>
  <si>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</si>
  <si>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</si>
  <si>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</si>
  <si>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</si>
  <si>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</si>
  <si>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</si>
  <si>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</si>
  <si>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</si>
  <si>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</si>
  <si>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</si>
  <si>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</si>
  <si>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</si>
  <si>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</si>
  <si>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</si>
  <si>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</si>
  <si>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</si>
  <si>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</si>
  <si>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</si>
  <si>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</si>
  <si>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</si>
  <si>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</si>
  <si>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</si>
  <si>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</si>
  <si>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</si>
  <si>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</si>
  <si>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</si>
  <si>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</si>
  <si>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</si>
  <si>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</si>
  <si>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</si>
  <si>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</si>
  <si>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</si>
  <si>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</si>
  <si>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</si>
  <si>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</si>
  <si>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</si>
  <si>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</si>
  <si>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</si>
  <si>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</si>
  <si>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</si>
  <si>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</si>
  <si>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</si>
  <si>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</si>
  <si>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</si>
  <si>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</si>
  <si>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</si>
  <si>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</si>
  <si>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</si>
  <si>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</si>
  <si>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</si>
  <si>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</si>
  <si>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</si>
  <si>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</si>
  <si>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</si>
  <si>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</si>
  <si>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</si>
  <si>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</si>
  <si>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</si>
  <si>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</si>
  <si>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</si>
  <si>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</si>
  <si>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</si>
  <si>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</si>
  <si>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</si>
  <si>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</si>
  <si>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</si>
  <si>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</si>
  <si>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</si>
  <si>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</si>
  <si>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</si>
  <si>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</si>
  <si>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</si>
  <si>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</si>
  <si>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</si>
  <si>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</si>
  <si>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</si>
  <si>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</si>
  <si>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</si>
  <si>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</si>
  <si>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</si>
  <si>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</si>
  <si>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</si>
  <si>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</si>
  <si>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</si>
  <si>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</si>
  <si>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</si>
  <si>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</si>
  <si>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</si>
  <si>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</si>
  <si>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</si>
  <si>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</si>
  <si>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</si>
  <si>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</si>
  <si>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</si>
  <si>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</si>
  <si>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</si>
  <si>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</si>
  <si>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</si>
  <si>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</si>
  <si>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</si>
  <si>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</si>
  <si>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</si>
  <si>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</si>
  <si>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</si>
  <si>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</si>
  <si>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</si>
  <si>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</si>
  <si>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</si>
  <si>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</si>
  <si>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</si>
  <si>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</si>
  <si>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</si>
  <si>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</si>
  <si>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</si>
  <si>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</si>
  <si>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</si>
  <si>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</si>
  <si>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</si>
  <si>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</si>
  <si>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</si>
  <si>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</si>
  <si>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</si>
  <si>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</si>
  <si>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</si>
  <si>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</si>
  <si>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</si>
  <si>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</si>
  <si>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</si>
  <si>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</si>
  <si>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</si>
  <si>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</si>
  <si>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</si>
  <si>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</si>
  <si>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</si>
  <si>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</si>
  <si>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</si>
  <si>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</si>
  <si>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</si>
  <si>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</si>
  <si>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</si>
  <si>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</si>
  <si>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</si>
  <si>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</si>
  <si>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</si>
  <si>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</si>
  <si>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</si>
  <si>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</si>
  <si>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</si>
  <si>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</si>
  <si>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</si>
  <si>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</si>
  <si>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</si>
  <si>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</si>
  <si>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</si>
  <si>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</si>
  <si>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</si>
  <si>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</si>
  <si>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</si>
  <si>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</si>
  <si>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</si>
  <si>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</si>
  <si>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</si>
  <si>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</si>
  <si>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</si>
  <si>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</si>
  <si>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</si>
  <si>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</si>
  <si>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</si>
  <si>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</si>
  <si>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</si>
  <si>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</si>
  <si>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</si>
  <si>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</si>
  <si>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</si>
  <si>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</si>
  <si>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</si>
  <si>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</si>
  <si>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</si>
  <si>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</si>
  <si>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</si>
  <si>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</si>
  <si>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</si>
  <si>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</si>
  <si>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</si>
  <si>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</si>
  <si>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</si>
  <si>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</si>
  <si>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</si>
  <si>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</si>
  <si>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</si>
  <si>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</si>
  <si>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</si>
  <si>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</si>
  <si>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</si>
  <si>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</si>
  <si>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</si>
  <si>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</si>
  <si>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</si>
  <si>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</si>
  <si>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</si>
  <si>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</si>
  <si>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</si>
  <si>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</si>
  <si>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</si>
  <si>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</si>
  <si>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</si>
  <si>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</si>
  <si>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</si>
  <si>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</si>
  <si>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</si>
  <si>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</si>
  <si>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</si>
  <si>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</si>
  <si>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</si>
  <si>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</si>
  <si>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</si>
  <si>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</si>
  <si>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</si>
  <si>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</si>
  <si>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</si>
  <si>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</si>
  <si>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</si>
  <si>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</si>
  <si>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</si>
  <si>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</si>
  <si>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</si>
  <si>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</si>
  <si>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</si>
  <si>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</si>
  <si>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</si>
  <si>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</si>
  <si>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</si>
  <si>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</si>
  <si>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</si>
  <si>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</si>
  <si>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</si>
  <si>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</si>
  <si>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</si>
  <si>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</si>
  <si>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</si>
  <si>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</si>
  <si>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</si>
  <si>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</si>
  <si>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</si>
  <si>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</si>
  <si>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</si>
  <si>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</si>
  <si>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</si>
  <si>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</si>
  <si>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</si>
  <si>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13040</t>
  </si>
  <si>
    <t>TURNHOUT</t>
  </si>
  <si>
    <t>Eandis (januari 2018); Infrax (juni 2018)</t>
  </si>
  <si>
    <t>MOW (september 2017)</t>
  </si>
  <si>
    <t>referentietaak LNE (2017); Jaarverslag De Lijn (2016)</t>
  </si>
  <si>
    <t>VEA (april 2018)</t>
  </si>
  <si>
    <t>VEA (januari 2017)</t>
  </si>
  <si>
    <t>VEA (juni 2018)</t>
  </si>
  <si>
    <t>De Nieuwe Kaai vzw</t>
  </si>
  <si>
    <t>Nieuwe Kaai 5 , 2300 Turnhout</t>
  </si>
  <si>
    <t>WKK-0414 Croonenburg</t>
  </si>
  <si>
    <t>stirlingmotor</t>
  </si>
  <si>
    <t>IVEKA</t>
  </si>
  <si>
    <t>Sanico NV</t>
  </si>
  <si>
    <t>Veedijk 59 , 2300 Turnhout</t>
  </si>
  <si>
    <t>WKK-0557 Sanico</t>
  </si>
  <si>
    <t>interne verbrandingsmotor</t>
  </si>
  <si>
    <t>WKK interne verbrandinsgmotor (gas)</t>
  </si>
  <si>
    <t>chemie</t>
  </si>
  <si>
    <t>Aquafin NV</t>
  </si>
  <si>
    <t>Dijkstraat 8 , 2630 Aartselaar</t>
  </si>
  <si>
    <t>BGS-0046 RWZI Turnhout</t>
  </si>
  <si>
    <t>biogas - RWZI</t>
  </si>
  <si>
    <t>niet WKK interne verbrandingsmotor (gas)</t>
  </si>
  <si>
    <t>Slachthuisstraat 62 , 2300 Turnhout</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</si>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</sst>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322866.79330146615</c:v>
                </c:pt>
                <c:pt idx="1">
                  <c:v>231810.21081467986</c:v>
                </c:pt>
                <c:pt idx="2">
                  <c:v>2658.8180000000002</c:v>
                </c:pt>
                <c:pt idx="3">
                  <c:v>9739.1222698843576</c:v>
                </c:pt>
                <c:pt idx="4">
                  <c:v>476178.86783052649</c:v>
                </c:pt>
                <c:pt idx="5">
                  <c:v>250768.85990276688</c:v>
                </c:pt>
                <c:pt idx="6">
                  <c:v>5225.3490782361405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83040"/>
        <c:axId val="176584576"/>
      </c:barChart>
      <c:catAx>
        <c:axId val="176583040"/>
        <c:scaling>
          <c:orientation val="minMax"/>
        </c:scaling>
        <c:axPos val="b"/>
        <c:numFmt formatCode="General" sourceLinked="0"/>
        <c:tickLblPos val="nextTo"/>
        <c:crossAx val="176584576"/>
        <c:crosses val="autoZero"/>
        <c:auto val="1"/>
        <c:lblAlgn val="ctr"/>
        <c:lblOffset val="100"/>
      </c:catAx>
      <c:valAx>
        <c:axId val="176584576"/>
        <c:scaling>
          <c:orientation val="minMax"/>
        </c:scaling>
        <c:axPos val="l"/>
        <c:majorGridlines>
          <c:spPr>
            <a:ln>
              <a:noFill/>
            </a:ln>
          </c:spPr>
        </c:majorGridlines>
        <c:numFmt formatCode="#,##0" sourceLinked="1"/>
        <c:tickLblPos val="nextTo"/>
        <c:crossAx val="1765830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322866.79330146615</c:v>
                </c:pt>
                <c:pt idx="1">
                  <c:v>231810.21081467986</c:v>
                </c:pt>
                <c:pt idx="2">
                  <c:v>2658.8180000000002</c:v>
                </c:pt>
                <c:pt idx="3">
                  <c:v>9739.1222698843576</c:v>
                </c:pt>
                <c:pt idx="4">
                  <c:v>476178.86783052649</c:v>
                </c:pt>
                <c:pt idx="5">
                  <c:v>250768.85990276688</c:v>
                </c:pt>
                <c:pt idx="6">
                  <c:v>5225.3490782361405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60251.302692080608</c:v>
                </c:pt>
                <c:pt idx="2">
                  <c:v>48528.805634877826</c:v>
                </c:pt>
                <c:pt idx="3">
                  <c:v>559.70687816749887</c:v>
                </c:pt>
                <c:pt idx="4">
                  <c:v>2380.3801010517377</c:v>
                </c:pt>
                <c:pt idx="5">
                  <c:v>78549.776329188375</c:v>
                </c:pt>
                <c:pt idx="6">
                  <c:v>62826.695075410978</c:v>
                </c:pt>
                <c:pt idx="7">
                  <c:v>1320.1873883015871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0016"/>
        <c:axId val="183275904"/>
      </c:barChart>
      <c:catAx>
        <c:axId val="183270016"/>
        <c:scaling>
          <c:orientation val="minMax"/>
        </c:scaling>
        <c:axPos val="b"/>
        <c:numFmt formatCode="General" sourceLinked="0"/>
        <c:tickLblPos val="nextTo"/>
        <c:crossAx val="183275904"/>
        <c:crosses val="autoZero"/>
        <c:auto val="1"/>
        <c:lblAlgn val="ctr"/>
        <c:lblOffset val="100"/>
      </c:catAx>
      <c:valAx>
        <c:axId val="183275904"/>
        <c:scaling>
          <c:orientation val="minMax"/>
        </c:scaling>
        <c:axPos val="l"/>
        <c:majorGridlines>
          <c:spPr>
            <a:ln>
              <a:noFill/>
            </a:ln>
          </c:spPr>
        </c:majorGridlines>
        <c:numFmt formatCode="#,##0" sourceLinked="1"/>
        <c:tickLblPos val="nextTo"/>
        <c:crossAx val="1832700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60251.302692080608</c:v>
                </c:pt>
                <c:pt idx="2">
                  <c:v>48528.805634877826</c:v>
                </c:pt>
                <c:pt idx="3">
                  <c:v>559.70687816749887</c:v>
                </c:pt>
                <c:pt idx="4">
                  <c:v>2380.3801010517377</c:v>
                </c:pt>
                <c:pt idx="5">
                  <c:v>78549.776329188375</c:v>
                </c:pt>
                <c:pt idx="6">
                  <c:v>62826.695075410978</c:v>
                </c:pt>
                <c:pt idx="7">
                  <c:v>1320.1873883015871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13040</v>
      </c>
      <c r="B6" s="415"/>
      <c r="C6" s="416"/>
    </row>
    <row r="7" spans="1:7" s="413" customFormat="1" ht="15.75" customHeight="1">
      <c r="A7" s="417" t="str">
        <f>txtMunicipality</f>
        <v>TURNHOUT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0.21050966187512601</v>
      </c>
      <c r="C17" s="524">
        <f ca="1">'EF ele_warmte'!B22</f>
        <v>0.23482101686688509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0.21050966187512601</v>
      </c>
      <c r="C29" s="525">
        <f ca="1">'EF ele_warmte'!B22</f>
        <v>0.23482101686688509</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19120</v>
      </c>
      <c r="C9" s="342">
        <v>19676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2241.14</v>
      </c>
    </row>
    <row r="15" spans="1:6">
      <c r="A15" s="348" t="s">
        <v>184</v>
      </c>
      <c r="B15" s="334">
        <v>3521</v>
      </c>
    </row>
    <row r="16" spans="1:6">
      <c r="A16" s="348" t="s">
        <v>6</v>
      </c>
      <c r="B16" s="334">
        <v>1028</v>
      </c>
    </row>
    <row r="17" spans="1:6">
      <c r="A17" s="348" t="s">
        <v>7</v>
      </c>
      <c r="B17" s="334">
        <v>159</v>
      </c>
    </row>
    <row r="18" spans="1:6">
      <c r="A18" s="348" t="s">
        <v>8</v>
      </c>
      <c r="B18" s="334">
        <v>670</v>
      </c>
    </row>
    <row r="19" spans="1:6">
      <c r="A19" s="348" t="s">
        <v>9</v>
      </c>
      <c r="B19" s="334">
        <v>673</v>
      </c>
    </row>
    <row r="20" spans="1:6">
      <c r="A20" s="348" t="s">
        <v>10</v>
      </c>
      <c r="B20" s="334">
        <v>265</v>
      </c>
    </row>
    <row r="21" spans="1:6">
      <c r="A21" s="348" t="s">
        <v>11</v>
      </c>
      <c r="B21" s="334">
        <v>1202</v>
      </c>
    </row>
    <row r="22" spans="1:6">
      <c r="A22" s="348" t="s">
        <v>12</v>
      </c>
      <c r="B22" s="334">
        <v>3275</v>
      </c>
    </row>
    <row r="23" spans="1:6">
      <c r="A23" s="348" t="s">
        <v>13</v>
      </c>
      <c r="B23" s="334">
        <v>35</v>
      </c>
    </row>
    <row r="24" spans="1:6">
      <c r="A24" s="348" t="s">
        <v>14</v>
      </c>
      <c r="B24" s="334">
        <v>2</v>
      </c>
    </row>
    <row r="25" spans="1:6">
      <c r="A25" s="348" t="s">
        <v>15</v>
      </c>
      <c r="B25" s="334">
        <v>199</v>
      </c>
    </row>
    <row r="26" spans="1:6">
      <c r="A26" s="348" t="s">
        <v>16</v>
      </c>
      <c r="B26" s="334">
        <v>44</v>
      </c>
    </row>
    <row r="27" spans="1:6">
      <c r="A27" s="348" t="s">
        <v>17</v>
      </c>
      <c r="B27" s="334">
        <v>2</v>
      </c>
    </row>
    <row r="28" spans="1:6" s="356" customFormat="1">
      <c r="A28" s="355" t="s">
        <v>18</v>
      </c>
      <c r="B28" s="355">
        <v>390524</v>
      </c>
    </row>
    <row r="29" spans="1:6">
      <c r="A29" s="355" t="s">
        <v>744</v>
      </c>
      <c r="B29" s="355">
        <v>190</v>
      </c>
      <c r="C29" s="356"/>
      <c r="D29" s="356"/>
      <c r="E29" s="356"/>
      <c r="F29" s="356"/>
    </row>
    <row r="30" spans="1:6">
      <c r="A30" s="341" t="s">
        <v>745</v>
      </c>
      <c r="B30" s="341">
        <v>48</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488084.84346803499</v>
      </c>
    </row>
    <row r="37" spans="1:6">
      <c r="A37" s="348" t="s">
        <v>25</v>
      </c>
      <c r="B37" s="348" t="s">
        <v>28</v>
      </c>
      <c r="C37" s="334">
        <v>0</v>
      </c>
      <c r="D37" s="334">
        <v>0</v>
      </c>
      <c r="E37" s="334">
        <v>0</v>
      </c>
      <c r="F37" s="334">
        <v>0</v>
      </c>
    </row>
    <row r="38" spans="1:6">
      <c r="A38" s="348" t="s">
        <v>25</v>
      </c>
      <c r="B38" s="348" t="s">
        <v>29</v>
      </c>
      <c r="C38" s="334">
        <v>3</v>
      </c>
      <c r="D38" s="334">
        <v>354249.398029882</v>
      </c>
      <c r="E38" s="334">
        <v>4</v>
      </c>
      <c r="F38" s="334">
        <v>248148.96893040999</v>
      </c>
    </row>
    <row r="39" spans="1:6">
      <c r="A39" s="348" t="s">
        <v>30</v>
      </c>
      <c r="B39" s="348" t="s">
        <v>31</v>
      </c>
      <c r="C39" s="334">
        <v>17218</v>
      </c>
      <c r="D39" s="334">
        <v>258067548.95611101</v>
      </c>
      <c r="E39" s="334">
        <v>19401</v>
      </c>
      <c r="F39" s="334">
        <v>53950266.142087303</v>
      </c>
    </row>
    <row r="40" spans="1:6">
      <c r="A40" s="348" t="s">
        <v>30</v>
      </c>
      <c r="B40" s="348" t="s">
        <v>29</v>
      </c>
      <c r="C40" s="334">
        <v>0</v>
      </c>
      <c r="D40" s="334">
        <v>0</v>
      </c>
      <c r="E40" s="334">
        <v>1</v>
      </c>
      <c r="F40" s="334">
        <v>6514.2063026937003</v>
      </c>
    </row>
    <row r="41" spans="1:6">
      <c r="A41" s="348" t="s">
        <v>32</v>
      </c>
      <c r="B41" s="348" t="s">
        <v>33</v>
      </c>
      <c r="C41" s="334">
        <v>162</v>
      </c>
      <c r="D41" s="334">
        <v>4355443.3990382403</v>
      </c>
      <c r="E41" s="334">
        <v>301</v>
      </c>
      <c r="F41" s="334">
        <v>10478646.768291101</v>
      </c>
    </row>
    <row r="42" spans="1:6">
      <c r="A42" s="348" t="s">
        <v>32</v>
      </c>
      <c r="B42" s="348" t="s">
        <v>34</v>
      </c>
      <c r="C42" s="334">
        <v>9</v>
      </c>
      <c r="D42" s="334">
        <v>14729043.9966077</v>
      </c>
      <c r="E42" s="334">
        <v>6</v>
      </c>
      <c r="F42" s="334">
        <v>19171616.9606901</v>
      </c>
    </row>
    <row r="43" spans="1:6">
      <c r="A43" s="348" t="s">
        <v>32</v>
      </c>
      <c r="B43" s="348" t="s">
        <v>35</v>
      </c>
      <c r="C43" s="334">
        <v>0</v>
      </c>
      <c r="D43" s="334">
        <v>0</v>
      </c>
      <c r="E43" s="334">
        <v>0</v>
      </c>
      <c r="F43" s="334">
        <v>0</v>
      </c>
    </row>
    <row r="44" spans="1:6">
      <c r="A44" s="348" t="s">
        <v>32</v>
      </c>
      <c r="B44" s="348" t="s">
        <v>36</v>
      </c>
      <c r="C44" s="334">
        <v>13</v>
      </c>
      <c r="D44" s="334">
        <v>2541052.88717834</v>
      </c>
      <c r="E44" s="334">
        <v>29</v>
      </c>
      <c r="F44" s="334">
        <v>1966765.33023638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19</v>
      </c>
      <c r="D47" s="334">
        <v>29448861.420288902</v>
      </c>
      <c r="E47" s="334">
        <v>22</v>
      </c>
      <c r="F47" s="334">
        <v>27100227.244669899</v>
      </c>
    </row>
    <row r="48" spans="1:6">
      <c r="A48" s="348" t="s">
        <v>32</v>
      </c>
      <c r="B48" s="348" t="s">
        <v>29</v>
      </c>
      <c r="C48" s="334">
        <v>45</v>
      </c>
      <c r="D48" s="334">
        <v>75172147.074033394</v>
      </c>
      <c r="E48" s="334">
        <v>52</v>
      </c>
      <c r="F48" s="334">
        <v>102899007.43728299</v>
      </c>
    </row>
    <row r="49" spans="1:6">
      <c r="A49" s="348" t="s">
        <v>32</v>
      </c>
      <c r="B49" s="348" t="s">
        <v>40</v>
      </c>
      <c r="C49" s="334">
        <v>3</v>
      </c>
      <c r="D49" s="334">
        <v>61252.515577673199</v>
      </c>
      <c r="E49" s="334">
        <v>3</v>
      </c>
      <c r="F49" s="334">
        <v>9992.0281053627004</v>
      </c>
    </row>
    <row r="50" spans="1:6">
      <c r="A50" s="348" t="s">
        <v>32</v>
      </c>
      <c r="B50" s="348" t="s">
        <v>41</v>
      </c>
      <c r="C50" s="334">
        <v>29</v>
      </c>
      <c r="D50" s="334">
        <v>39074452.4129989</v>
      </c>
      <c r="E50" s="334">
        <v>35</v>
      </c>
      <c r="F50" s="334">
        <v>19170202.5295773</v>
      </c>
    </row>
    <row r="51" spans="1:6">
      <c r="A51" s="348" t="s">
        <v>42</v>
      </c>
      <c r="B51" s="348" t="s">
        <v>43</v>
      </c>
      <c r="C51" s="334">
        <v>10</v>
      </c>
      <c r="D51" s="334">
        <v>417063.045960213</v>
      </c>
      <c r="E51" s="334">
        <v>68</v>
      </c>
      <c r="F51" s="334">
        <v>1257119.9554546699</v>
      </c>
    </row>
    <row r="52" spans="1:6">
      <c r="A52" s="348" t="s">
        <v>42</v>
      </c>
      <c r="B52" s="348" t="s">
        <v>29</v>
      </c>
      <c r="C52" s="334">
        <v>8</v>
      </c>
      <c r="D52" s="334">
        <v>2283614.0081249601</v>
      </c>
      <c r="E52" s="334">
        <v>8</v>
      </c>
      <c r="F52" s="334">
        <v>110448.221260908</v>
      </c>
    </row>
    <row r="53" spans="1:6">
      <c r="A53" s="348" t="s">
        <v>44</v>
      </c>
      <c r="B53" s="348" t="s">
        <v>45</v>
      </c>
      <c r="C53" s="334">
        <v>419</v>
      </c>
      <c r="D53" s="334">
        <v>8170892.1697199903</v>
      </c>
      <c r="E53" s="334">
        <v>828</v>
      </c>
      <c r="F53" s="334">
        <v>4240739.5149418898</v>
      </c>
    </row>
    <row r="54" spans="1:6">
      <c r="A54" s="348" t="s">
        <v>46</v>
      </c>
      <c r="B54" s="348" t="s">
        <v>47</v>
      </c>
      <c r="C54" s="334">
        <v>0</v>
      </c>
      <c r="D54" s="334">
        <v>0</v>
      </c>
      <c r="E54" s="334">
        <v>1</v>
      </c>
      <c r="F54" s="334">
        <v>2658818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155</v>
      </c>
      <c r="D57" s="334">
        <v>7508320.3444919996</v>
      </c>
      <c r="E57" s="334">
        <v>193</v>
      </c>
      <c r="F57" s="334">
        <v>3983893.91898651</v>
      </c>
    </row>
    <row r="58" spans="1:6">
      <c r="A58" s="348" t="s">
        <v>49</v>
      </c>
      <c r="B58" s="348" t="s">
        <v>51</v>
      </c>
      <c r="C58" s="334">
        <v>122</v>
      </c>
      <c r="D58" s="334">
        <v>23612828.623620499</v>
      </c>
      <c r="E58" s="334">
        <v>157</v>
      </c>
      <c r="F58" s="334">
        <v>16397309.776888801</v>
      </c>
    </row>
    <row r="59" spans="1:6">
      <c r="A59" s="348" t="s">
        <v>49</v>
      </c>
      <c r="B59" s="348" t="s">
        <v>52</v>
      </c>
      <c r="C59" s="334">
        <v>422</v>
      </c>
      <c r="D59" s="334">
        <v>28414379.406176601</v>
      </c>
      <c r="E59" s="334">
        <v>617</v>
      </c>
      <c r="F59" s="334">
        <v>32382095.118320901</v>
      </c>
    </row>
    <row r="60" spans="1:6">
      <c r="A60" s="348" t="s">
        <v>49</v>
      </c>
      <c r="B60" s="348" t="s">
        <v>53</v>
      </c>
      <c r="C60" s="334">
        <v>203</v>
      </c>
      <c r="D60" s="334">
        <v>18754300.297263101</v>
      </c>
      <c r="E60" s="334">
        <v>226</v>
      </c>
      <c r="F60" s="334">
        <v>8113055.1506191902</v>
      </c>
    </row>
    <row r="61" spans="1:6">
      <c r="A61" s="348" t="s">
        <v>49</v>
      </c>
      <c r="B61" s="348" t="s">
        <v>54</v>
      </c>
      <c r="C61" s="334">
        <v>707</v>
      </c>
      <c r="D61" s="334">
        <v>41003650.6019632</v>
      </c>
      <c r="E61" s="334">
        <v>1472</v>
      </c>
      <c r="F61" s="334">
        <v>18504725.094590399</v>
      </c>
    </row>
    <row r="62" spans="1:6">
      <c r="A62" s="348" t="s">
        <v>49</v>
      </c>
      <c r="B62" s="348" t="s">
        <v>55</v>
      </c>
      <c r="C62" s="334">
        <v>53</v>
      </c>
      <c r="D62" s="334">
        <v>9132501.7083614897</v>
      </c>
      <c r="E62" s="334">
        <v>38</v>
      </c>
      <c r="F62" s="334">
        <v>2731078.83802548</v>
      </c>
    </row>
    <row r="63" spans="1:6">
      <c r="A63" s="348" t="s">
        <v>49</v>
      </c>
      <c r="B63" s="348" t="s">
        <v>29</v>
      </c>
      <c r="C63" s="334">
        <v>98</v>
      </c>
      <c r="D63" s="334">
        <v>12381576.672381099</v>
      </c>
      <c r="E63" s="334">
        <v>89</v>
      </c>
      <c r="F63" s="334">
        <v>4821634.4931420796</v>
      </c>
    </row>
    <row r="64" spans="1:6">
      <c r="A64" s="348" t="s">
        <v>56</v>
      </c>
      <c r="B64" s="348" t="s">
        <v>57</v>
      </c>
      <c r="C64" s="334">
        <v>0</v>
      </c>
      <c r="D64" s="334">
        <v>0</v>
      </c>
      <c r="E64" s="334">
        <v>0</v>
      </c>
      <c r="F64" s="334">
        <v>0</v>
      </c>
    </row>
    <row r="65" spans="1:6">
      <c r="A65" s="348" t="s">
        <v>56</v>
      </c>
      <c r="B65" s="348" t="s">
        <v>29</v>
      </c>
      <c r="C65" s="334">
        <v>8</v>
      </c>
      <c r="D65" s="334">
        <v>1022315.1599021</v>
      </c>
      <c r="E65" s="334">
        <v>3</v>
      </c>
      <c r="F65" s="334">
        <v>45986.833920093202</v>
      </c>
    </row>
    <row r="66" spans="1:6">
      <c r="A66" s="348" t="s">
        <v>56</v>
      </c>
      <c r="B66" s="348" t="s">
        <v>58</v>
      </c>
      <c r="C66" s="334">
        <v>8</v>
      </c>
      <c r="D66" s="334">
        <v>843511.88181333395</v>
      </c>
      <c r="E66" s="334">
        <v>28</v>
      </c>
      <c r="F66" s="334">
        <v>888252.17326434399</v>
      </c>
    </row>
    <row r="67" spans="1:6">
      <c r="A67" s="355" t="s">
        <v>56</v>
      </c>
      <c r="B67" s="355" t="s">
        <v>59</v>
      </c>
      <c r="C67" s="334">
        <v>0</v>
      </c>
      <c r="D67" s="334">
        <v>0</v>
      </c>
      <c r="E67" s="334">
        <v>0</v>
      </c>
      <c r="F67" s="334">
        <v>0</v>
      </c>
    </row>
    <row r="68" spans="1:6">
      <c r="A68" s="341" t="s">
        <v>56</v>
      </c>
      <c r="B68" s="341" t="s">
        <v>60</v>
      </c>
      <c r="C68" s="334">
        <v>5</v>
      </c>
      <c r="D68" s="334">
        <v>164857.19734506399</v>
      </c>
      <c r="E68" s="334">
        <v>22</v>
      </c>
      <c r="F68" s="334">
        <v>886900.29284733103</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155295238</v>
      </c>
      <c r="E73" s="475">
        <v>157975911.17155635</v>
      </c>
    </row>
    <row r="74" spans="1:6">
      <c r="A74" s="348" t="s">
        <v>64</v>
      </c>
      <c r="B74" s="348" t="s">
        <v>657</v>
      </c>
      <c r="C74" s="1295" t="s">
        <v>659</v>
      </c>
      <c r="D74" s="475">
        <v>14767008</v>
      </c>
      <c r="E74" s="475">
        <v>14608482.097261544</v>
      </c>
    </row>
    <row r="75" spans="1:6">
      <c r="A75" s="348" t="s">
        <v>65</v>
      </c>
      <c r="B75" s="348" t="s">
        <v>656</v>
      </c>
      <c r="C75" s="1295" t="s">
        <v>660</v>
      </c>
      <c r="D75" s="475">
        <v>30011023</v>
      </c>
      <c r="E75" s="475">
        <v>30483500.976804804</v>
      </c>
    </row>
    <row r="76" spans="1:6">
      <c r="A76" s="348" t="s">
        <v>65</v>
      </c>
      <c r="B76" s="348" t="s">
        <v>657</v>
      </c>
      <c r="C76" s="1295" t="s">
        <v>661</v>
      </c>
      <c r="D76" s="475">
        <v>566900</v>
      </c>
      <c r="E76" s="475">
        <v>567664.35296285804</v>
      </c>
    </row>
    <row r="77" spans="1:6">
      <c r="A77" s="348" t="s">
        <v>66</v>
      </c>
      <c r="B77" s="348" t="s">
        <v>656</v>
      </c>
      <c r="C77" s="1295" t="s">
        <v>662</v>
      </c>
      <c r="D77" s="475">
        <v>65426194</v>
      </c>
      <c r="E77" s="475">
        <v>66520458.93493101</v>
      </c>
    </row>
    <row r="78" spans="1:6">
      <c r="A78" s="341" t="s">
        <v>66</v>
      </c>
      <c r="B78" s="341" t="s">
        <v>657</v>
      </c>
      <c r="C78" s="341" t="s">
        <v>663</v>
      </c>
      <c r="D78" s="1296">
        <v>17602639</v>
      </c>
      <c r="E78" s="1296">
        <v>18424179.668424014</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1417202</v>
      </c>
      <c r="C83" s="475">
        <v>1423439.4108484318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4817.2597680999061</v>
      </c>
    </row>
    <row r="92" spans="1:6">
      <c r="A92" s="341" t="s">
        <v>69</v>
      </c>
      <c r="B92" s="342">
        <v>10149.864335868902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12843</v>
      </c>
    </row>
    <row r="98" spans="1:6">
      <c r="A98" s="348" t="s">
        <v>72</v>
      </c>
      <c r="B98" s="334">
        <v>18</v>
      </c>
    </row>
    <row r="99" spans="1:6">
      <c r="A99" s="348" t="s">
        <v>73</v>
      </c>
      <c r="B99" s="334">
        <v>63</v>
      </c>
    </row>
    <row r="100" spans="1:6">
      <c r="A100" s="348" t="s">
        <v>74</v>
      </c>
      <c r="B100" s="334">
        <v>462</v>
      </c>
    </row>
    <row r="101" spans="1:6">
      <c r="A101" s="348" t="s">
        <v>75</v>
      </c>
      <c r="B101" s="334">
        <v>128</v>
      </c>
    </row>
    <row r="102" spans="1:6">
      <c r="A102" s="348" t="s">
        <v>76</v>
      </c>
      <c r="B102" s="334">
        <v>292</v>
      </c>
    </row>
    <row r="103" spans="1:6">
      <c r="A103" s="348" t="s">
        <v>77</v>
      </c>
      <c r="B103" s="334">
        <v>271</v>
      </c>
    </row>
    <row r="104" spans="1:6">
      <c r="A104" s="348" t="s">
        <v>78</v>
      </c>
      <c r="B104" s="334">
        <v>2518</v>
      </c>
    </row>
    <row r="105" spans="1:6">
      <c r="A105" s="341" t="s">
        <v>79</v>
      </c>
      <c r="B105" s="341">
        <v>13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32</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209</v>
      </c>
    </row>
    <row r="130" spans="1:6">
      <c r="A130" s="348" t="s">
        <v>295</v>
      </c>
      <c r="B130" s="334">
        <v>4</v>
      </c>
    </row>
    <row r="131" spans="1:6">
      <c r="A131" s="348" t="s">
        <v>296</v>
      </c>
      <c r="B131" s="334">
        <v>8</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339383.55547616549</v>
      </c>
      <c r="C3" s="43" t="s">
        <v>170</v>
      </c>
      <c r="D3" s="43"/>
      <c r="E3" s="154"/>
      <c r="F3" s="43"/>
      <c r="G3" s="43"/>
      <c r="H3" s="43"/>
      <c r="I3" s="43"/>
      <c r="J3" s="43"/>
      <c r="K3" s="96"/>
    </row>
    <row r="4" spans="1:11">
      <c r="A4" s="383" t="s">
        <v>171</v>
      </c>
      <c r="B4" s="49">
        <f>IF(ISERROR('SEAP template'!B78+'SEAP template'!C78),0,'SEAP template'!B78+'SEAP template'!C78)</f>
        <v>19480.62410396881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744.96967601019287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0.21050966187512601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1328.4160382755215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5657.1428571428578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0.23482101686688509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2658.8180000000002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2658.8180000000002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0.21050966187512601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559.70687816749887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53956.780348389999</v>
      </c>
      <c r="C5" s="17">
        <f>IF(ISERROR('Eigen informatie GS &amp; warmtenet'!B57),0,'Eigen informatie GS &amp; warmtenet'!B57)</f>
        <v>0</v>
      </c>
      <c r="D5" s="30">
        <f>(SUM(HH_hh_gas_kWh,HH_rest_gas_kWh)/1000)*0.902</f>
        <v>232776.92915841215</v>
      </c>
      <c r="E5" s="17">
        <f>B46*B57</f>
        <v>3779.1175776386522</v>
      </c>
      <c r="F5" s="17">
        <f>B51*B62</f>
        <v>0</v>
      </c>
      <c r="G5" s="18"/>
      <c r="H5" s="17"/>
      <c r="I5" s="17"/>
      <c r="J5" s="17">
        <f>B50*B61+C50*C61</f>
        <v>0</v>
      </c>
      <c r="K5" s="17"/>
      <c r="L5" s="17"/>
      <c r="M5" s="17"/>
      <c r="N5" s="17">
        <f>B48*B59+C48*C59</f>
        <v>26166.913115592077</v>
      </c>
      <c r="O5" s="17">
        <f>B69*B70*B71</f>
        <v>378.32666666666671</v>
      </c>
      <c r="P5" s="17">
        <f>B77*B78*B79/1000-B77*B78*B79/1000/B80</f>
        <v>991.4666666666667</v>
      </c>
    </row>
    <row r="6" spans="1:16">
      <c r="A6" s="16" t="s">
        <v>621</v>
      </c>
      <c r="B6" s="788">
        <f>kWh_PV_kleiner_dan_10kW</f>
        <v>4817.2597680999061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58774.040116489909</v>
      </c>
      <c r="C8" s="21">
        <f>C5</f>
        <v>0</v>
      </c>
      <c r="D8" s="21">
        <f>D5</f>
        <v>232776.92915841215</v>
      </c>
      <c r="E8" s="21">
        <f>E5</f>
        <v>3779.1175776386522</v>
      </c>
      <c r="F8" s="21">
        <f>F5</f>
        <v>0</v>
      </c>
      <c r="G8" s="21"/>
      <c r="H8" s="21"/>
      <c r="I8" s="21"/>
      <c r="J8" s="21">
        <f>J5</f>
        <v>0</v>
      </c>
      <c r="K8" s="21"/>
      <c r="L8" s="21">
        <f>L5</f>
        <v>0</v>
      </c>
      <c r="M8" s="21">
        <f>M5</f>
        <v>0</v>
      </c>
      <c r="N8" s="21">
        <f>N5</f>
        <v>26166.913115592077</v>
      </c>
      <c r="O8" s="21">
        <f>O5</f>
        <v>378.32666666666671</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0.21050966187512601</v>
      </c>
      <c r="C10" s="25">
        <f ca="1">'EF ele_warmte'!B22</f>
        <v>0.23482101686688509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12372.503311957382</v>
      </c>
      <c r="C12" s="23">
        <f ca="1">C10*C8</f>
        <v>0</v>
      </c>
      <c r="D12" s="23">
        <f>D8*D10</f>
        <v>47020.939689999257</v>
      </c>
      <c r="E12" s="23">
        <f>E10*E8</f>
        <v>857.85969012397402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12843</v>
      </c>
      <c r="C18" s="166" t="s">
        <v>111</v>
      </c>
      <c r="D18" s="228"/>
      <c r="E18" s="15"/>
    </row>
    <row r="19" spans="1:7">
      <c r="A19" s="171" t="s">
        <v>72</v>
      </c>
      <c r="B19" s="37">
        <f>aantalw2001_ander</f>
        <v>18</v>
      </c>
      <c r="C19" s="166" t="s">
        <v>111</v>
      </c>
      <c r="D19" s="229"/>
      <c r="E19" s="15"/>
    </row>
    <row r="20" spans="1:7">
      <c r="A20" s="171" t="s">
        <v>73</v>
      </c>
      <c r="B20" s="37">
        <f>aantalw2001_propaan</f>
        <v>63</v>
      </c>
      <c r="C20" s="167">
        <f>IF(ISERROR(B20/SUM($B$20,$B$21,$B$22)*100),0,B20/SUM($B$20,$B$21,$B$22)*100)</f>
        <v>9.6477794793261857</v>
      </c>
      <c r="D20" s="229"/>
      <c r="E20" s="15"/>
    </row>
    <row r="21" spans="1:7">
      <c r="A21" s="171" t="s">
        <v>74</v>
      </c>
      <c r="B21" s="37">
        <f>aantalw2001_elektriciteit</f>
        <v>462</v>
      </c>
      <c r="C21" s="167">
        <f>IF(ISERROR(B21/SUM($B$20,$B$21,$B$22)*100),0,B21/SUM($B$20,$B$21,$B$22)*100)</f>
        <v>70.750382848392036</v>
      </c>
      <c r="D21" s="229"/>
      <c r="E21" s="15"/>
    </row>
    <row r="22" spans="1:7">
      <c r="A22" s="171" t="s">
        <v>75</v>
      </c>
      <c r="B22" s="37">
        <f>aantalw2001_hout</f>
        <v>128</v>
      </c>
      <c r="C22" s="167">
        <f>IF(ISERROR(B22/SUM($B$20,$B$21,$B$22)*100),0,B22/SUM($B$20,$B$21,$B$22)*100)</f>
        <v>19.601837672281778</v>
      </c>
      <c r="D22" s="229"/>
      <c r="E22" s="15"/>
    </row>
    <row r="23" spans="1:7">
      <c r="A23" s="171" t="s">
        <v>76</v>
      </c>
      <c r="B23" s="37">
        <f>aantalw2001_niet_gespec</f>
        <v>292</v>
      </c>
      <c r="C23" s="166" t="s">
        <v>111</v>
      </c>
      <c r="D23" s="228"/>
      <c r="E23" s="15"/>
    </row>
    <row r="24" spans="1:7">
      <c r="A24" s="171" t="s">
        <v>77</v>
      </c>
      <c r="B24" s="37">
        <f>aantalw2001_steenkool</f>
        <v>271</v>
      </c>
      <c r="C24" s="166" t="s">
        <v>111</v>
      </c>
      <c r="D24" s="229"/>
      <c r="E24" s="15"/>
    </row>
    <row r="25" spans="1:7">
      <c r="A25" s="171" t="s">
        <v>78</v>
      </c>
      <c r="B25" s="37">
        <f>aantalw2001_stookolie</f>
        <v>2518</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793</v>
      </c>
      <c r="B28" s="37">
        <f>aantalHuishoudens2011</f>
        <v>19120</v>
      </c>
      <c r="C28" s="36"/>
      <c r="D28" s="228"/>
    </row>
    <row r="29" spans="1:7" s="15" customFormat="1">
      <c r="A29" s="230" t="s">
        <v>794</v>
      </c>
      <c r="B29" s="37">
        <f>SUM(HH_hh_gas_aantal,HH_rest_gas_aantal)</f>
        <v>17218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17218</v>
      </c>
      <c r="C32" s="167">
        <f>IF(ISERROR(B32/SUM($B$32,$B$34,$B$35,$B$36,$B$38,$B$39)*100),0,B32/SUM($B$32,$B$34,$B$35,$B$36,$B$38,$B$39)*100)</f>
        <v>90.297881267044261</v>
      </c>
      <c r="D32" s="233"/>
      <c r="G32" s="15"/>
    </row>
    <row r="33" spans="1:7">
      <c r="A33" s="171" t="s">
        <v>72</v>
      </c>
      <c r="B33" s="34" t="s">
        <v>111</v>
      </c>
      <c r="C33" s="167"/>
      <c r="D33" s="233"/>
      <c r="G33" s="15"/>
    </row>
    <row r="34" spans="1:7">
      <c r="A34" s="171" t="s">
        <v>73</v>
      </c>
      <c r="B34" s="33">
        <f>IF((($B$28-$B$32-$B$39-$B$77-$B$38)*C20/100)&lt;0,0,($B$28-$B$32-$B$39-$B$77-$B$38)*C20/100)</f>
        <v>178.48392036753444</v>
      </c>
      <c r="C34" s="167">
        <f>IF(ISERROR(B34/SUM($B$32,$B$34,$B$35,$B$36,$B$38,$B$39)*100),0,B34/SUM($B$32,$B$34,$B$35,$B$36,$B$38,$B$39)*100)</f>
        <v>0.93603902017796536</v>
      </c>
      <c r="D34" s="233"/>
      <c r="G34" s="15"/>
    </row>
    <row r="35" spans="1:7">
      <c r="A35" s="171" t="s">
        <v>74</v>
      </c>
      <c r="B35" s="33">
        <f>IF((($B$28-$B$32-$B$39-$B$77-$B$38)*C21/100)&lt;0,0,($B$28-$B$32-$B$39-$B$77-$B$38)*C21/100)</f>
        <v>1308.8820826952526</v>
      </c>
      <c r="C35" s="167">
        <f>IF(ISERROR(B35/SUM($B$32,$B$34,$B$35,$B$36,$B$38,$B$39)*100),0,B35/SUM($B$32,$B$34,$B$35,$B$36,$B$38,$B$39)*100)</f>
        <v>6.8642861479717459</v>
      </c>
      <c r="D35" s="233"/>
      <c r="G35" s="15"/>
    </row>
    <row r="36" spans="1:7">
      <c r="A36" s="171" t="s">
        <v>75</v>
      </c>
      <c r="B36" s="33">
        <f>IF((($B$28-$B$32-$B$39-$B$77-$B$38)*C22/100)&lt;0,0,($B$28-$B$32-$B$39-$B$77-$B$38)*C22/100)</f>
        <v>362.63399693721288</v>
      </c>
      <c r="C36" s="167">
        <f>IF(ISERROR(B36/SUM($B$32,$B$34,$B$35,$B$36,$B$38,$B$39)*100),0,B36/SUM($B$32,$B$34,$B$35,$B$36,$B$38,$B$39)*100)</f>
        <v>1.9017935648060251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17218</v>
      </c>
      <c r="C44" s="34" t="s">
        <v>111</v>
      </c>
      <c r="D44" s="174"/>
    </row>
    <row r="45" spans="1:7">
      <c r="A45" s="171" t="s">
        <v>72</v>
      </c>
      <c r="B45" s="33" t="str">
        <f t="shared" si="0"/>
        <v>-</v>
      </c>
      <c r="C45" s="34" t="s">
        <v>111</v>
      </c>
      <c r="D45" s="174"/>
    </row>
    <row r="46" spans="1:7">
      <c r="A46" s="171" t="s">
        <v>73</v>
      </c>
      <c r="B46" s="33">
        <f t="shared" si="0"/>
        <v>178.48392036753444</v>
      </c>
      <c r="C46" s="34" t="s">
        <v>111</v>
      </c>
      <c r="D46" s="174"/>
    </row>
    <row r="47" spans="1:7">
      <c r="A47" s="171" t="s">
        <v>74</v>
      </c>
      <c r="B47" s="33">
        <f t="shared" si="0"/>
        <v>1308.8820826952526</v>
      </c>
      <c r="C47" s="34" t="s">
        <v>111</v>
      </c>
      <c r="D47" s="174"/>
    </row>
    <row r="48" spans="1:7">
      <c r="A48" s="171" t="s">
        <v>75</v>
      </c>
      <c r="B48" s="33">
        <f t="shared" si="0"/>
        <v>362.63399693721288</v>
      </c>
      <c r="C48" s="33">
        <f>B48*10</f>
        <v>3626.339969372129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242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86933.792390573348</v>
      </c>
      <c r="C5" s="17">
        <f>IF(ISERROR('Eigen informatie GS &amp; warmtenet'!B58),0,'Eigen informatie GS &amp; warmtenet'!B58)</f>
        <v>0</v>
      </c>
      <c r="D5" s="30">
        <f>SUM(D6:D12)</f>
        <v>127008.41700414071</v>
      </c>
      <c r="E5" s="17">
        <f>SUM(E6:E12)</f>
        <v>1397.6460222226658</v>
      </c>
      <c r="F5" s="17">
        <f>SUM(F6:F12)</f>
        <v>14835.785260119985</v>
      </c>
      <c r="G5" s="18"/>
      <c r="H5" s="17"/>
      <c r="I5" s="17"/>
      <c r="J5" s="17">
        <f>SUM(J6:J12)</f>
        <v>9.8150430154644863E-2</v>
      </c>
      <c r="K5" s="17"/>
      <c r="L5" s="17"/>
      <c r="M5" s="17"/>
      <c r="N5" s="17">
        <f>SUM(N6:N12)</f>
        <v>4176.1138919549239</v>
      </c>
      <c r="O5" s="17">
        <f>B38*B39*B40</f>
        <v>6.2533333333333339</v>
      </c>
      <c r="P5" s="17">
        <f>B46*B47*B48/1000-B46*B47*B48/1000/B49</f>
        <v>152.53333333333333</v>
      </c>
      <c r="R5" s="32"/>
    </row>
    <row r="6" spans="1:18">
      <c r="A6" s="32" t="s">
        <v>54</v>
      </c>
      <c r="B6" s="37">
        <f>B26</f>
        <v>18504.725094590398</v>
      </c>
      <c r="C6" s="33"/>
      <c r="D6" s="37">
        <f>IF(ISERROR(TER_kantoor_gas_kWh/1000),0,TER_kantoor_gas_kWh/1000)*0.902</f>
        <v>36985.292842970804</v>
      </c>
      <c r="E6" s="33">
        <f>$C$26*'E Balans VL '!I12/100/3.6*1000000</f>
        <v>0.11598146231774625</v>
      </c>
      <c r="F6" s="33">
        <f>$C$26*('E Balans VL '!L12+'E Balans VL '!N12)/100/3.6*1000000</f>
        <v>2780.7431103827548</v>
      </c>
      <c r="G6" s="34"/>
      <c r="H6" s="33"/>
      <c r="I6" s="33"/>
      <c r="J6" s="33">
        <f>$C$26*('E Balans VL '!D12+'E Balans VL '!E12)/100/3.6*1000000</f>
        <v>0</v>
      </c>
      <c r="K6" s="33"/>
      <c r="L6" s="33"/>
      <c r="M6" s="33"/>
      <c r="N6" s="33">
        <f>$C$26*'E Balans VL '!Y12/100/3.6*1000000</f>
        <v>17.697025926383429</v>
      </c>
      <c r="O6" s="33"/>
      <c r="P6" s="33"/>
      <c r="R6" s="32"/>
    </row>
    <row r="7" spans="1:18">
      <c r="A7" s="32" t="s">
        <v>53</v>
      </c>
      <c r="B7" s="37">
        <f t="shared" ref="B7:B12" si="0">B27</f>
        <v>8113.0551506191905</v>
      </c>
      <c r="C7" s="33"/>
      <c r="D7" s="37">
        <f>IF(ISERROR(TER_horeca_gas_kWh/1000),0,TER_horeca_gas_kWh/1000)*0.902</f>
        <v>16916.378868131316</v>
      </c>
      <c r="E7" s="33">
        <f>$C$27*'E Balans VL '!I9/100/3.6*1000000</f>
        <v>116.17759837985405</v>
      </c>
      <c r="F7" s="33">
        <f>$C$27*('E Balans VL '!L9+'E Balans VL '!N9)/100/3.6*1000000</f>
        <v>1027.3803609359641</v>
      </c>
      <c r="G7" s="34"/>
      <c r="H7" s="33"/>
      <c r="I7" s="33"/>
      <c r="J7" s="33">
        <f>$C$27*('E Balans VL '!D9+'E Balans VL '!E9)/100/3.6*1000000</f>
        <v>0</v>
      </c>
      <c r="K7" s="33"/>
      <c r="L7" s="33"/>
      <c r="M7" s="33"/>
      <c r="N7" s="33">
        <f>$C$27*'E Balans VL '!Y9/100/3.6*1000000</f>
        <v>2.3323244782917318</v>
      </c>
      <c r="O7" s="33"/>
      <c r="P7" s="33"/>
      <c r="R7" s="32"/>
    </row>
    <row r="8" spans="1:18">
      <c r="A8" s="6" t="s">
        <v>52</v>
      </c>
      <c r="B8" s="37">
        <f t="shared" si="0"/>
        <v>32382.0951183209</v>
      </c>
      <c r="C8" s="33"/>
      <c r="D8" s="37">
        <f>IF(ISERROR(TER_handel_gas_kWh/1000),0,TER_handel_gas_kWh/1000)*0.902</f>
        <v>25629.770224371296</v>
      </c>
      <c r="E8" s="33">
        <f>$C$28*'E Balans VL '!I13/100/3.6*1000000</f>
        <v>1174.4945967604299</v>
      </c>
      <c r="F8" s="33">
        <f>$C$28*('E Balans VL '!L13+'E Balans VL '!N13)/100/3.6*1000000</f>
        <v>6237.1194093482454</v>
      </c>
      <c r="G8" s="34"/>
      <c r="H8" s="33"/>
      <c r="I8" s="33"/>
      <c r="J8" s="33">
        <f>$C$28*('E Balans VL '!D13+'E Balans VL '!E13)/100/3.6*1000000</f>
        <v>0</v>
      </c>
      <c r="K8" s="33"/>
      <c r="L8" s="33"/>
      <c r="M8" s="33"/>
      <c r="N8" s="33">
        <f>$C$28*'E Balans VL '!Y13/100/3.6*1000000</f>
        <v>44.856652526665989</v>
      </c>
      <c r="O8" s="33"/>
      <c r="P8" s="33"/>
      <c r="R8" s="32"/>
    </row>
    <row r="9" spans="1:18">
      <c r="A9" s="32" t="s">
        <v>51</v>
      </c>
      <c r="B9" s="37">
        <f t="shared" si="0"/>
        <v>16397.3097768888</v>
      </c>
      <c r="C9" s="33"/>
      <c r="D9" s="37">
        <f>IF(ISERROR(TER_gezond_gas_kWh/1000),0,TER_gezond_gas_kWh/1000)*0.902</f>
        <v>21298.77141850569</v>
      </c>
      <c r="E9" s="33">
        <f>$C$29*'E Balans VL '!I10/100/3.6*1000000</f>
        <v>1.02663348621941</v>
      </c>
      <c r="F9" s="33">
        <f>$C$29*('E Balans VL '!L10+'E Balans VL '!N10)/100/3.6*1000000</f>
        <v>2435.8702924104914</v>
      </c>
      <c r="G9" s="34"/>
      <c r="H9" s="33"/>
      <c r="I9" s="33"/>
      <c r="J9" s="33">
        <f>$C$29*('E Balans VL '!D10+'E Balans VL '!E10)/100/3.6*1000000</f>
        <v>0</v>
      </c>
      <c r="K9" s="33"/>
      <c r="L9" s="33"/>
      <c r="M9" s="33"/>
      <c r="N9" s="33">
        <f>$C$29*'E Balans VL '!Y10/100/3.6*1000000</f>
        <v>253.63516983406222</v>
      </c>
      <c r="O9" s="33"/>
      <c r="P9" s="33"/>
      <c r="R9" s="32"/>
    </row>
    <row r="10" spans="1:18">
      <c r="A10" s="32" t="s">
        <v>50</v>
      </c>
      <c r="B10" s="37">
        <f t="shared" si="0"/>
        <v>3983.89391898651</v>
      </c>
      <c r="C10" s="33"/>
      <c r="D10" s="37">
        <f>IF(ISERROR(TER_ander_gas_kWh/1000),0,TER_ander_gas_kWh/1000)*0.902</f>
        <v>6772.5049507317844</v>
      </c>
      <c r="E10" s="33">
        <f>$C$30*'E Balans VL '!I14/100/3.6*1000000</f>
        <v>4.7486591911179215</v>
      </c>
      <c r="F10" s="33">
        <f>$C$30*('E Balans VL '!L14+'E Balans VL '!N14)/100/3.6*1000000</f>
        <v>1042.3637592197322</v>
      </c>
      <c r="G10" s="34"/>
      <c r="H10" s="33"/>
      <c r="I10" s="33"/>
      <c r="J10" s="33">
        <f>$C$30*('E Balans VL '!D14+'E Balans VL '!E14)/100/3.6*1000000</f>
        <v>8.6474720548235004E-2</v>
      </c>
      <c r="K10" s="33"/>
      <c r="L10" s="33"/>
      <c r="M10" s="33"/>
      <c r="N10" s="33">
        <f>$C$30*'E Balans VL '!Y14/100/3.6*1000000</f>
        <v>3383.0252314913382</v>
      </c>
      <c r="O10" s="33"/>
      <c r="P10" s="33"/>
      <c r="R10" s="32"/>
    </row>
    <row r="11" spans="1:18">
      <c r="A11" s="32" t="s">
        <v>55</v>
      </c>
      <c r="B11" s="37">
        <f t="shared" si="0"/>
        <v>2731.0788380254799</v>
      </c>
      <c r="C11" s="33"/>
      <c r="D11" s="37">
        <f>IF(ISERROR(TER_onderwijs_gas_kWh/1000),0,TER_onderwijs_gas_kWh/1000)*0.902</f>
        <v>8237.5165409420642</v>
      </c>
      <c r="E11" s="33">
        <f>$C$31*'E Balans VL '!I11/100/3.6*1000000</f>
        <v>41.207580845053329</v>
      </c>
      <c r="F11" s="33">
        <f>$C$31*('E Balans VL '!L11+'E Balans VL '!N11)/100/3.6*1000000</f>
        <v>478.52864270448771</v>
      </c>
      <c r="G11" s="34"/>
      <c r="H11" s="33"/>
      <c r="I11" s="33"/>
      <c r="J11" s="33">
        <f>$C$31*('E Balans VL '!D11+'E Balans VL '!E11)/100/3.6*1000000</f>
        <v>0</v>
      </c>
      <c r="K11" s="33"/>
      <c r="L11" s="33"/>
      <c r="M11" s="33"/>
      <c r="N11" s="33">
        <f>$C$31*'E Balans VL '!Y11/100/3.6*1000000</f>
        <v>7.6854634747236963</v>
      </c>
      <c r="O11" s="33"/>
      <c r="P11" s="33"/>
      <c r="R11" s="32"/>
    </row>
    <row r="12" spans="1:18">
      <c r="A12" s="32" t="s">
        <v>260</v>
      </c>
      <c r="B12" s="37">
        <f t="shared" si="0"/>
        <v>4821.6344931420799</v>
      </c>
      <c r="C12" s="33"/>
      <c r="D12" s="37">
        <f>IF(ISERROR(TER_rest_gas_kWh/1000),0,TER_rest_gas_kWh/1000)*0.902</f>
        <v>11168.182158487753</v>
      </c>
      <c r="E12" s="33">
        <f>$C$32*'E Balans VL '!I8/100/3.6*1000000</f>
        <v>59.874972097673421</v>
      </c>
      <c r="F12" s="33">
        <f>$C$32*('E Balans VL '!L8+'E Balans VL '!N8)/100/3.6*1000000</f>
        <v>833.77968511831091</v>
      </c>
      <c r="G12" s="34"/>
      <c r="H12" s="33"/>
      <c r="I12" s="33"/>
      <c r="J12" s="33">
        <f>$C$32*('E Balans VL '!D8+'E Balans VL '!E8)/100/3.6*1000000</f>
        <v>1.1675709606409866E-2</v>
      </c>
      <c r="K12" s="33"/>
      <c r="L12" s="33"/>
      <c r="M12" s="33"/>
      <c r="N12" s="33">
        <f>$C$32*'E Balans VL '!Y8/100/3.6*1000000</f>
        <v>466.88202422345915</v>
      </c>
      <c r="O12" s="33"/>
      <c r="P12" s="33"/>
      <c r="R12" s="32"/>
    </row>
    <row r="13" spans="1:18">
      <c r="A13" s="16" t="s">
        <v>488</v>
      </c>
      <c r="B13" s="247">
        <f ca="1">'lokale energieproductie'!N91+'lokale energieproductie'!N60</f>
        <v>1656</v>
      </c>
      <c r="C13" s="247">
        <f ca="1">'lokale energieproductie'!O91+'lokale energieproductie'!O60</f>
        <v>1575.0000000000002</v>
      </c>
      <c r="D13" s="310">
        <f ca="1">('lokale energieproductie'!P60+'lokale energieproductie'!P91)*(-1)</f>
        <v>-2100.0000000000005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-3831.4285714285716</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88589.792390573348</v>
      </c>
      <c r="C16" s="21">
        <f t="shared" ca="1" si="1"/>
        <v>1575.0000000000002</v>
      </c>
      <c r="D16" s="21">
        <f t="shared" ca="1" si="1"/>
        <v>124908.41700414071</v>
      </c>
      <c r="E16" s="21">
        <f t="shared" si="1"/>
        <v>1397.6460222226658</v>
      </c>
      <c r="F16" s="21">
        <f t="shared" ca="1" si="1"/>
        <v>14835.785260119985</v>
      </c>
      <c r="G16" s="21">
        <f t="shared" si="1"/>
        <v>0</v>
      </c>
      <c r="H16" s="21">
        <f t="shared" si="1"/>
        <v>0</v>
      </c>
      <c r="I16" s="21">
        <f t="shared" si="1"/>
        <v>0</v>
      </c>
      <c r="J16" s="21">
        <f t="shared" si="1"/>
        <v>9.8150430154644863E-2</v>
      </c>
      <c r="K16" s="21">
        <f t="shared" si="1"/>
        <v>0</v>
      </c>
      <c r="L16" s="21">
        <f t="shared" ca="1" si="1"/>
        <v>0</v>
      </c>
      <c r="M16" s="21">
        <f t="shared" si="1"/>
        <v>0</v>
      </c>
      <c r="N16" s="21">
        <f t="shared" ca="1" si="1"/>
        <v>344.68532052635237</v>
      </c>
      <c r="O16" s="21">
        <f>O5</f>
        <v>6.2533333333333339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0.21050966187512601</v>
      </c>
      <c r="C18" s="25">
        <f ca="1">'EF ele_warmte'!B22</f>
        <v>0.23482101686688509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18649.007241727206</v>
      </c>
      <c r="C20" s="23">
        <f t="shared" ref="C20:P20" ca="1" si="2">C16*C18</f>
        <v>369.84310156534406</v>
      </c>
      <c r="D20" s="23">
        <f t="shared" ca="1" si="2"/>
        <v>25231.500234836425</v>
      </c>
      <c r="E20" s="23">
        <f t="shared" si="2"/>
        <v>317.26564704454518</v>
      </c>
      <c r="F20" s="23">
        <f t="shared" ca="1" si="2"/>
        <v>3961.1546644520363</v>
      </c>
      <c r="G20" s="23">
        <f t="shared" si="2"/>
        <v>0</v>
      </c>
      <c r="H20" s="23">
        <f t="shared" si="2"/>
        <v>0</v>
      </c>
      <c r="I20" s="23">
        <f t="shared" si="2"/>
        <v>0</v>
      </c>
      <c r="J20" s="23">
        <f t="shared" si="2"/>
        <v>3.474525227474428E-2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18504.725094590398</v>
      </c>
      <c r="C26" s="39">
        <f>IF(ISERROR(B26*3.6/1000000/'E Balans VL '!Z12*100),0,B26*3.6/1000000/'E Balans VL '!Z12*100)</f>
        <v>0.39116057464726273</v>
      </c>
      <c r="D26" s="237" t="s">
        <v>754</v>
      </c>
      <c r="F26" s="6"/>
    </row>
    <row r="27" spans="1:18">
      <c r="A27" s="231" t="s">
        <v>53</v>
      </c>
      <c r="B27" s="33">
        <f>IF(ISERROR(TER_horeca_ele_kWh/1000),0,TER_horeca_ele_kWh/1000)</f>
        <v>8113.0551506191905</v>
      </c>
      <c r="C27" s="39">
        <f>IF(ISERROR(B27*3.6/1000000/'E Balans VL '!Z9*100),0,B27*3.6/1000000/'E Balans VL '!Z9*100)</f>
        <v>0.63954911363328104</v>
      </c>
      <c r="D27" s="237" t="s">
        <v>754</v>
      </c>
      <c r="F27" s="6"/>
    </row>
    <row r="28" spans="1:18">
      <c r="A28" s="171" t="s">
        <v>52</v>
      </c>
      <c r="B28" s="33">
        <f>IF(ISERROR(TER_handel_ele_kWh/1000),0,TER_handel_ele_kWh/1000)</f>
        <v>32382.0951183209</v>
      </c>
      <c r="C28" s="39">
        <f>IF(ISERROR(B28*3.6/1000000/'E Balans VL '!Z13*100),0,B28*3.6/1000000/'E Balans VL '!Z13*100)</f>
        <v>0.93985923865918353</v>
      </c>
      <c r="D28" s="237" t="s">
        <v>754</v>
      </c>
      <c r="F28" s="6"/>
    </row>
    <row r="29" spans="1:18">
      <c r="A29" s="231" t="s">
        <v>51</v>
      </c>
      <c r="B29" s="33">
        <f>IF(ISERROR(TER_gezond_ele_kWh/1000),0,TER_gezond_ele_kWh/1000)</f>
        <v>16397.3097768888</v>
      </c>
      <c r="C29" s="39">
        <f>IF(ISERROR(B29*3.6/1000000/'E Balans VL '!Z10*100),0,B29*3.6/1000000/'E Balans VL '!Z10*100)</f>
        <v>1.7269059704401111</v>
      </c>
      <c r="D29" s="237" t="s">
        <v>754</v>
      </c>
      <c r="F29" s="6"/>
    </row>
    <row r="30" spans="1:18">
      <c r="A30" s="231" t="s">
        <v>50</v>
      </c>
      <c r="B30" s="33">
        <f>IF(ISERROR(TER_ander_ele_kWh/1000),0,TER_ander_ele_kWh/1000)</f>
        <v>3983.89391898651</v>
      </c>
      <c r="C30" s="39">
        <f>IF(ISERROR(B30*3.6/1000000/'E Balans VL '!Z14*100),0,B30*3.6/1000000/'E Balans VL '!Z14*100)</f>
        <v>0.29385288076189986</v>
      </c>
      <c r="D30" s="237" t="s">
        <v>754</v>
      </c>
      <c r="F30" s="6"/>
    </row>
    <row r="31" spans="1:18">
      <c r="A31" s="231" t="s">
        <v>55</v>
      </c>
      <c r="B31" s="33">
        <f>IF(ISERROR(TER_onderwijs_ele_kWh/1000),0,TER_onderwijs_ele_kWh/1000)</f>
        <v>2731.0788380254799</v>
      </c>
      <c r="C31" s="39">
        <f>IF(ISERROR(B31*3.6/1000000/'E Balans VL '!Z11*100),0,B31*3.6/1000000/'E Balans VL '!Z11*100)</f>
        <v>0.67825480674863547</v>
      </c>
      <c r="D31" s="237" t="s">
        <v>754</v>
      </c>
    </row>
    <row r="32" spans="1:18">
      <c r="A32" s="231" t="s">
        <v>260</v>
      </c>
      <c r="B32" s="33">
        <f>IF(ISERROR(TER_rest_ele_kWh/1000),0,TER_rest_ele_kWh/1000)</f>
        <v>4821.6344931420799</v>
      </c>
      <c r="C32" s="39">
        <f>IF(ISERROR(B32*3.6/1000000/'E Balans VL '!Z8*100),0,B32*3.6/1000000/'E Balans VL '!Z8*100)</f>
        <v>3.9675651809353597E-2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8</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180796.45829885313</v>
      </c>
      <c r="C5" s="17">
        <f>IF(ISERROR('Eigen informatie GS &amp; warmtenet'!B59),0,'Eigen informatie GS &amp; warmtenet'!B59)</f>
        <v>0</v>
      </c>
      <c r="D5" s="30">
        <f>SUM(D6:D15)</f>
        <v>149174.79284256228</v>
      </c>
      <c r="E5" s="17">
        <f>SUM(E6:E15)</f>
        <v>8889.0890927761338</v>
      </c>
      <c r="F5" s="17">
        <f>SUM(F6:F15)</f>
        <v>31072.794253665947</v>
      </c>
      <c r="G5" s="18"/>
      <c r="H5" s="17"/>
      <c r="I5" s="17"/>
      <c r="J5" s="17">
        <f>SUM(J6:J15)</f>
        <v>372.56779451207638</v>
      </c>
      <c r="K5" s="17"/>
      <c r="L5" s="17"/>
      <c r="M5" s="17"/>
      <c r="N5" s="17">
        <f>SUM(N6:N15)</f>
        <v>107097.80840529971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1966.7653302363799</v>
      </c>
      <c r="C8" s="33"/>
      <c r="D8" s="37">
        <f>IF( ISERROR(IND_metaal_Gas_kWH/1000),0,IND_metaal_Gas_kWH/1000)*0.902</f>
        <v>2292.0297042348625</v>
      </c>
      <c r="E8" s="33">
        <f>C30*'E Balans VL '!I18/100/3.6*1000000</f>
        <v>18.082507691503078</v>
      </c>
      <c r="F8" s="33">
        <f>C30*'E Balans VL '!L18/100/3.6*1000000+C30*'E Balans VL '!N18/100/3.6*1000000</f>
        <v>184.41710773011812</v>
      </c>
      <c r="G8" s="34"/>
      <c r="H8" s="33"/>
      <c r="I8" s="33"/>
      <c r="J8" s="40">
        <f>C30*'E Balans VL '!D18/100/3.6*1000000+C30*'E Balans VL '!E18/100/3.6*1000000</f>
        <v>0</v>
      </c>
      <c r="K8" s="33"/>
      <c r="L8" s="33"/>
      <c r="M8" s="33"/>
      <c r="N8" s="33">
        <f>C30*'E Balans VL '!Y18/100/3.6*1000000</f>
        <v>28.059157652400195</v>
      </c>
      <c r="O8" s="33"/>
      <c r="P8" s="33"/>
      <c r="R8" s="32"/>
    </row>
    <row r="9" spans="1:18">
      <c r="A9" s="6" t="s">
        <v>33</v>
      </c>
      <c r="B9" s="37">
        <f t="shared" si="0"/>
        <v>10478.646768291101</v>
      </c>
      <c r="C9" s="33"/>
      <c r="D9" s="37">
        <f>IF( ISERROR(IND_andere_gas_kWh/1000),0,IND_andere_gas_kWh/1000)*0.902</f>
        <v>3928.6099459324928</v>
      </c>
      <c r="E9" s="33">
        <f>C31*'E Balans VL '!I19/100/3.6*1000000</f>
        <v>3063.1124455629733</v>
      </c>
      <c r="F9" s="33">
        <f>C31*'E Balans VL '!L19/100/3.6*1000000+C31*'E Balans VL '!N19/100/3.6*1000000</f>
        <v>8420.3858390019559</v>
      </c>
      <c r="G9" s="34"/>
      <c r="H9" s="33"/>
      <c r="I9" s="33"/>
      <c r="J9" s="40">
        <f>C31*'E Balans VL '!D19/100/3.6*1000000+C31*'E Balans VL '!E19/100/3.6*1000000</f>
        <v>0</v>
      </c>
      <c r="K9" s="33"/>
      <c r="L9" s="33"/>
      <c r="M9" s="33"/>
      <c r="N9" s="33">
        <f>C31*'E Balans VL '!Y19/100/3.6*1000000</f>
        <v>3462.3074045326248</v>
      </c>
      <c r="O9" s="33"/>
      <c r="P9" s="33"/>
      <c r="R9" s="32"/>
    </row>
    <row r="10" spans="1:18">
      <c r="A10" s="6" t="s">
        <v>41</v>
      </c>
      <c r="B10" s="37">
        <f t="shared" si="0"/>
        <v>19170.202529577298</v>
      </c>
      <c r="C10" s="33"/>
      <c r="D10" s="37">
        <f>IF( ISERROR(IND_voed_gas_kWh/1000),0,IND_voed_gas_kWh/1000)*0.902</f>
        <v>35245.156076525011</v>
      </c>
      <c r="E10" s="33">
        <f>C32*'E Balans VL '!I20/100/3.6*1000000</f>
        <v>40.554860688831432</v>
      </c>
      <c r="F10" s="33">
        <f>C32*'E Balans VL '!L20/100/3.6*1000000+C32*'E Balans VL '!N20/100/3.6*1000000</f>
        <v>1218.8610586181815</v>
      </c>
      <c r="G10" s="34"/>
      <c r="H10" s="33"/>
      <c r="I10" s="33"/>
      <c r="J10" s="40">
        <f>C32*'E Balans VL '!D20/100/3.6*1000000+C32*'E Balans VL '!E20/100/3.6*1000000</f>
        <v>0</v>
      </c>
      <c r="K10" s="33"/>
      <c r="L10" s="33"/>
      <c r="M10" s="33"/>
      <c r="N10" s="33">
        <f>C32*'E Balans VL '!Y20/100/3.6*1000000</f>
        <v>1322.9331507218365</v>
      </c>
      <c r="O10" s="33"/>
      <c r="P10" s="33"/>
      <c r="R10" s="32"/>
    </row>
    <row r="11" spans="1:18">
      <c r="A11" s="6" t="s">
        <v>40</v>
      </c>
      <c r="B11" s="37">
        <f t="shared" si="0"/>
        <v>9.9920281053627011</v>
      </c>
      <c r="C11" s="33"/>
      <c r="D11" s="37">
        <f>IF( ISERROR(IND_textiel_gas_kWh/1000),0,IND_textiel_gas_kWh/1000)*0.902</f>
        <v>55.249769051061229</v>
      </c>
      <c r="E11" s="33">
        <f>C33*'E Balans VL '!I21/100/3.6*1000000</f>
        <v>2.9675461994491704E-2</v>
      </c>
      <c r="F11" s="33">
        <f>C33*'E Balans VL '!L21/100/3.6*1000000+C33*'E Balans VL '!N21/100/3.6*1000000</f>
        <v>1.009469160946437</v>
      </c>
      <c r="G11" s="34"/>
      <c r="H11" s="33"/>
      <c r="I11" s="33"/>
      <c r="J11" s="40">
        <f>C33*'E Balans VL '!D21/100/3.6*1000000+C33*'E Balans VL '!E21/100/3.6*1000000</f>
        <v>0</v>
      </c>
      <c r="K11" s="33"/>
      <c r="L11" s="33"/>
      <c r="M11" s="33"/>
      <c r="N11" s="33">
        <f>C33*'E Balans VL '!Y21/100/3.6*1000000</f>
        <v>0.55109223811212582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27100.227244669899</v>
      </c>
      <c r="C13" s="33"/>
      <c r="D13" s="37">
        <f>IF( ISERROR(IND_papier_gas_kWh/1000),0,IND_papier_gas_kWh/1000)*0.902</f>
        <v>26562.87300110059</v>
      </c>
      <c r="E13" s="33">
        <f>C35*'E Balans VL '!I23/100/3.6*1000000</f>
        <v>38.449024686328926</v>
      </c>
      <c r="F13" s="33">
        <f>C35*'E Balans VL '!L23/100/3.6*1000000+C35*'E Balans VL '!N23/100/3.6*1000000</f>
        <v>661.61845046699534</v>
      </c>
      <c r="G13" s="34"/>
      <c r="H13" s="33"/>
      <c r="I13" s="33"/>
      <c r="J13" s="40">
        <f>C35*'E Balans VL '!D23/100/3.6*1000000+C35*'E Balans VL '!E23/100/3.6*1000000</f>
        <v>4.1913045758260381</v>
      </c>
      <c r="K13" s="33"/>
      <c r="L13" s="33"/>
      <c r="M13" s="33"/>
      <c r="N13" s="33">
        <f>C35*'E Balans VL '!Y23/100/3.6*1000000</f>
        <v>78773.945535837891</v>
      </c>
      <c r="O13" s="33"/>
      <c r="P13" s="33"/>
      <c r="R13" s="32"/>
    </row>
    <row r="14" spans="1:18">
      <c r="A14" s="6" t="s">
        <v>34</v>
      </c>
      <c r="B14" s="37">
        <f t="shared" si="0"/>
        <v>19171.616960690098</v>
      </c>
      <c r="C14" s="33"/>
      <c r="D14" s="37">
        <f>IF( ISERROR(IND_chemie_gas_kWh/1000),0,IND_chemie_gas_kWh/1000)*0.902</f>
        <v>13285.597684940147</v>
      </c>
      <c r="E14" s="33">
        <f>C36*'E Balans VL '!I24/100/3.6*1000000</f>
        <v>47.195027928419236</v>
      </c>
      <c r="F14" s="33">
        <f>C36*'E Balans VL '!L24/100/3.6*1000000+C36*'E Balans VL '!N24/100/3.6*1000000</f>
        <v>205.28877524923931</v>
      </c>
      <c r="G14" s="34"/>
      <c r="H14" s="33"/>
      <c r="I14" s="33"/>
      <c r="J14" s="40">
        <f>C36*'E Balans VL '!D24/100/3.6*1000000+C36*'E Balans VL '!E24/100/3.6*1000000</f>
        <v>0</v>
      </c>
      <c r="K14" s="33"/>
      <c r="L14" s="33"/>
      <c r="M14" s="33"/>
      <c r="N14" s="33">
        <f>C36*'E Balans VL '!Y24/100/3.6*1000000</f>
        <v>428.14953231378939</v>
      </c>
      <c r="O14" s="33"/>
      <c r="P14" s="33"/>
      <c r="R14" s="32"/>
    </row>
    <row r="15" spans="1:18">
      <c r="A15" s="6" t="s">
        <v>270</v>
      </c>
      <c r="B15" s="37">
        <f t="shared" si="0"/>
        <v>102899.007437283</v>
      </c>
      <c r="C15" s="33"/>
      <c r="D15" s="37">
        <f>IF( ISERROR(IND_rest_gas_kWh/1000),0,IND_rest_gas_kWh/1000)*0.902</f>
        <v>67805.276660778123</v>
      </c>
      <c r="E15" s="33">
        <f>C37*'E Balans VL '!I15/100/3.6*1000000</f>
        <v>5681.6655507560836</v>
      </c>
      <c r="F15" s="33">
        <f>C37*'E Balans VL '!L15/100/3.6*1000000+C37*'E Balans VL '!N15/100/3.6*1000000</f>
        <v>20381.213553438509</v>
      </c>
      <c r="G15" s="34"/>
      <c r="H15" s="33"/>
      <c r="I15" s="33"/>
      <c r="J15" s="40">
        <f>C37*'E Balans VL '!D15/100/3.6*1000000+C37*'E Balans VL '!E15/100/3.6*1000000</f>
        <v>368.37648993625032</v>
      </c>
      <c r="K15" s="33"/>
      <c r="L15" s="33"/>
      <c r="M15" s="33"/>
      <c r="N15" s="33">
        <f>C37*'E Balans VL '!Y15/100/3.6*1000000</f>
        <v>23081.862532003051</v>
      </c>
      <c r="O15" s="33"/>
      <c r="P15" s="33"/>
      <c r="R15" s="32"/>
    </row>
    <row r="16" spans="1:18">
      <c r="A16" s="16" t="s">
        <v>488</v>
      </c>
      <c r="B16" s="247">
        <f>'lokale energieproductie'!N90+'lokale energieproductie'!N59</f>
        <v>2857.5</v>
      </c>
      <c r="C16" s="247">
        <f>'lokale energieproductie'!O90+'lokale energieproductie'!O59</f>
        <v>4082.1428571428573</v>
      </c>
      <c r="D16" s="310">
        <f>('lokale energieproductie'!P59+'lokale energieproductie'!P90)*(-1)</f>
        <v>-8164.2857142857147</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183653.95829885313</v>
      </c>
      <c r="C18" s="21">
        <f>C5+C16</f>
        <v>4082.1428571428573</v>
      </c>
      <c r="D18" s="21">
        <f>MAX((D5+D16),0)</f>
        <v>141010.50712827657</v>
      </c>
      <c r="E18" s="21">
        <f>MAX((E5+E16),0)</f>
        <v>8889.0890927761338</v>
      </c>
      <c r="F18" s="21">
        <f>MAX((F5+F16),0)</f>
        <v>31072.794253665947</v>
      </c>
      <c r="G18" s="21"/>
      <c r="H18" s="21"/>
      <c r="I18" s="21"/>
      <c r="J18" s="21">
        <f>MAX((J5+J16),0)</f>
        <v>372.56779451207638</v>
      </c>
      <c r="K18" s="21"/>
      <c r="L18" s="21">
        <f>MAX((L5+L16),0)</f>
        <v>0</v>
      </c>
      <c r="M18" s="21"/>
      <c r="N18" s="21">
        <f>MAX((N5+N16),0)</f>
        <v>107097.80840529971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0.21050966187512601</v>
      </c>
      <c r="C20" s="25">
        <f ca="1">'EF ele_warmte'!B22</f>
        <v>0.23482101686688509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38660.932663520063</v>
      </c>
      <c r="C22" s="23">
        <f ca="1">C18*C20</f>
        <v>958.57293671017737</v>
      </c>
      <c r="D22" s="23">
        <f>D18*D20</f>
        <v>28484.122439911869</v>
      </c>
      <c r="E22" s="23">
        <f>E18*E20</f>
        <v>2017.8232240601824</v>
      </c>
      <c r="F22" s="23">
        <f>F18*F20</f>
        <v>8296.4360657288089</v>
      </c>
      <c r="G22" s="23"/>
      <c r="H22" s="23"/>
      <c r="I22" s="23"/>
      <c r="J22" s="23">
        <f>J18*J20</f>
        <v>131.88899925727503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1966.7653302363799</v>
      </c>
      <c r="C30" s="39">
        <f>IF(ISERROR(B30*3.6/1000000/'E Balans VL '!Z18*100),0,B30*3.6/1000000/'E Balans VL '!Z18*100)</f>
        <v>0.11146163438064656</v>
      </c>
      <c r="D30" s="237" t="s">
        <v>754</v>
      </c>
    </row>
    <row r="31" spans="1:18">
      <c r="A31" s="6" t="s">
        <v>33</v>
      </c>
      <c r="B31" s="37">
        <f>IF( ISERROR(IND_ander_ele_kWh/1000),0,IND_ander_ele_kWh/1000)</f>
        <v>10478.646768291101</v>
      </c>
      <c r="C31" s="39">
        <f>IF(ISERROR(B31*3.6/1000000/'E Balans VL '!Z19*100),0,B31*3.6/1000000/'E Balans VL '!Z19*100)</f>
        <v>0.4752677850839484</v>
      </c>
      <c r="D31" s="237" t="s">
        <v>754</v>
      </c>
    </row>
    <row r="32" spans="1:18">
      <c r="A32" s="171" t="s">
        <v>41</v>
      </c>
      <c r="B32" s="37">
        <f>IF( ISERROR(IND_voed_ele_kWh/1000),0,IND_voed_ele_kWh/1000)</f>
        <v>19170.202529577298</v>
      </c>
      <c r="C32" s="39">
        <f>IF(ISERROR(B32*3.6/1000000/'E Balans VL '!Z20*100),0,B32*3.6/1000000/'E Balans VL '!Z20*100)</f>
        <v>0.59302138961127993</v>
      </c>
      <c r="D32" s="237" t="s">
        <v>754</v>
      </c>
    </row>
    <row r="33" spans="1:5">
      <c r="A33" s="171" t="s">
        <v>40</v>
      </c>
      <c r="B33" s="37">
        <f>IF( ISERROR(IND_textiel_ele_kWh/1000),0,IND_textiel_ele_kWh/1000)</f>
        <v>9.9920281053627011</v>
      </c>
      <c r="C33" s="39">
        <f>IF(ISERROR(B33*3.6/1000000/'E Balans VL '!Z21*100),0,B33*3.6/1000000/'E Balans VL '!Z21*100)</f>
        <v>1.3028493978913557E-3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27100.227244669899</v>
      </c>
      <c r="C35" s="39">
        <f>IF(ISERROR(B35*3.6/1000000/'E Balans VL '!Z22*100),0,B35*3.6/1000000/'E Balans VL '!Z22*100)</f>
        <v>4.8744853639638333</v>
      </c>
      <c r="D35" s="237" t="s">
        <v>754</v>
      </c>
    </row>
    <row r="36" spans="1:5">
      <c r="A36" s="171" t="s">
        <v>34</v>
      </c>
      <c r="B36" s="37">
        <f>IF( ISERROR(IND_chemie_ele_kWh/1000),0,IND_chemie_ele_kWh/1000)</f>
        <v>19171.616960690098</v>
      </c>
      <c r="C36" s="39">
        <f>IF(ISERROR(B36*3.6/1000000/'E Balans VL '!Z24*100),0,B36*3.6/1000000/'E Balans VL '!Z24*100)</f>
        <v>0.58461976435612706</v>
      </c>
      <c r="D36" s="237" t="s">
        <v>754</v>
      </c>
    </row>
    <row r="37" spans="1:5">
      <c r="A37" s="171" t="s">
        <v>270</v>
      </c>
      <c r="B37" s="37">
        <f>IF( ISERROR(IND_rest_ele_kWh/1000),0,IND_rest_ele_kWh/1000)</f>
        <v>102899.007437283</v>
      </c>
      <c r="C37" s="39">
        <f>IF(ISERROR(B37*3.6/1000000/'E Balans VL '!Z15*100),0,B37*3.6/1000000/'E Balans VL '!Z15*100)</f>
        <v>0.81560100594018614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1367.5681767155779</v>
      </c>
      <c r="C5" s="17">
        <f>'Eigen informatie GS &amp; warmtenet'!B60</f>
        <v>0</v>
      </c>
      <c r="D5" s="30">
        <f>IF(ISERROR(SUM(LB_lb_gas_kWh,LB_rest_gas_kWh)/1000),0,SUM(LB_lb_gas_kWh,LB_rest_gas_kWh)/1000)*0.902</f>
        <v>2436.0107027848262</v>
      </c>
      <c r="E5" s="17">
        <f>B17*'E Balans VL '!I25/3.6*1000000/100</f>
        <v>40.197005749002209</v>
      </c>
      <c r="F5" s="17">
        <f>B17*('E Balans VL '!L25/3.6*1000000+'E Balans VL '!N25/3.6*1000000)/100</f>
        <v>5697.215124691641</v>
      </c>
      <c r="G5" s="18"/>
      <c r="H5" s="17"/>
      <c r="I5" s="17"/>
      <c r="J5" s="17">
        <f>('E Balans VL '!D25+'E Balans VL '!E25)/3.6*1000000*landbouw!B17/100</f>
        <v>198.13125994331025</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1367.5681767155779</v>
      </c>
      <c r="C8" s="21">
        <f>C5+C6</f>
        <v>0</v>
      </c>
      <c r="D8" s="21">
        <f>MAX((D5+D6),0)</f>
        <v>2436.0107027848262</v>
      </c>
      <c r="E8" s="21">
        <f>MAX((E5+E6),0)</f>
        <v>40.197005749002209</v>
      </c>
      <c r="F8" s="21">
        <f>MAX((F5+F6),0)</f>
        <v>5697.215124691641</v>
      </c>
      <c r="G8" s="21"/>
      <c r="H8" s="21"/>
      <c r="I8" s="21"/>
      <c r="J8" s="21">
        <f>MAX((J5+J6),0)</f>
        <v>198.13125994331025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0.21050966187512601</v>
      </c>
      <c r="C10" s="31">
        <f ca="1">'EF ele_warmte'!B22</f>
        <v>0.23482101686688509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287.88631447157888</v>
      </c>
      <c r="C12" s="23">
        <f ca="1">C8*C10</f>
        <v>0</v>
      </c>
      <c r="D12" s="23">
        <f>D8*D10</f>
        <v>492.0741619625349</v>
      </c>
      <c r="E12" s="23">
        <f>E8*E10</f>
        <v>9.1247203050235015</v>
      </c>
      <c r="F12" s="23">
        <f>F8*F10</f>
        <v>1521.1564382926683</v>
      </c>
      <c r="G12" s="23"/>
      <c r="H12" s="23"/>
      <c r="I12" s="23"/>
      <c r="J12" s="23">
        <f>J8*J10</f>
        <v>70.138466019931826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0.19406221489024458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260.02597250094681</v>
      </c>
      <c r="C26" s="247">
        <f>B26*'GWP N2O_CH4'!B5</f>
        <v>5460.5454225198828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88.568885766618138</v>
      </c>
      <c r="C27" s="247">
        <f>B27*'GWP N2O_CH4'!B5</f>
        <v>1859.9466010989809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6.177890748542171</v>
      </c>
      <c r="C28" s="247">
        <f>B28*'GWP N2O_CH4'!B4</f>
        <v>1915.146132048073</v>
      </c>
      <c r="D28" s="50"/>
    </row>
    <row r="29" spans="1:4">
      <c r="A29" s="41" t="s">
        <v>277</v>
      </c>
      <c r="B29" s="247">
        <f>B34*'ha_N2O bodem landbouw'!B4</f>
        <v>14.581395576482043</v>
      </c>
      <c r="C29" s="247">
        <f>B29*'GWP N2O_CH4'!B4</f>
        <v>4520.2326287094338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3.3274242208285822E-3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3.5510032292993888E-4</v>
      </c>
      <c r="C5" s="463" t="s">
        <v>211</v>
      </c>
      <c r="D5" s="448">
        <f>SUM(D6:D11)</f>
        <v>1.1770785520824382E-3</v>
      </c>
      <c r="E5" s="448">
        <f>SUM(E6:E11)</f>
        <v>1.6826349060393455E-3</v>
      </c>
      <c r="F5" s="461" t="s">
        <v>211</v>
      </c>
      <c r="G5" s="448">
        <f>SUM(G6:G11)</f>
        <v>0.71895019398675775</v>
      </c>
      <c r="H5" s="448">
        <f>SUM(H6:H11)</f>
        <v>0.13462618649362187</v>
      </c>
      <c r="I5" s="463" t="s">
        <v>211</v>
      </c>
      <c r="J5" s="463" t="s">
        <v>211</v>
      </c>
      <c r="K5" s="463" t="s">
        <v>211</v>
      </c>
      <c r="L5" s="463" t="s">
        <v>211</v>
      </c>
      <c r="M5" s="448">
        <f>SUM(M6:M11)</f>
        <v>4.5976701388529488E-2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2.1993718030352999E-4</v>
      </c>
      <c r="C6" s="449"/>
      <c r="D6" s="892">
        <f>vkm_2011_GW_PW*SUMIFS(TableVerdeelsleutelVkm[CNG],TableVerdeelsleutelVkm[Voertuigtype],"Lichte voertuigen")*SUMIFS(TableECFTransport[EnergieConsumptieFactor (PJ per km)],TableECFTransport[Index],CONCATENATE($A6,"_CNG_CNG"))</f>
        <v>6.5968530845132484E-4</v>
      </c>
      <c r="E6" s="892">
        <f>vkm_2011_GW_PW*SUMIFS(TableVerdeelsleutelVkm[LPG],TableVerdeelsleutelVkm[Voertuigtype],"Lichte voertuigen")*SUMIFS(TableECFTransport[EnergieConsumptieFactor (PJ per km)],TableECFTransport[Index],CONCATENATE($A6,"_LPG_LPG"))</f>
        <v>9.0122489046912547E-4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0.23301544388422502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7.5031613143715772E-2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1.5827231750118975E-2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0.13857432794875402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4.2234639314128501E-5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8.0978162020800219E-3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4.2503169199846208E-5</v>
      </c>
      <c r="C8" s="449"/>
      <c r="D8" s="451">
        <f>vkm_2011_NGW_PW*SUMIFS(TableVerdeelsleutelVkm[CNG],TableVerdeelsleutelVkm[Voertuigtype],"Lichte voertuigen")*SUMIFS(TableECFTransport[EnergieConsumptieFactor (PJ per km)],TableECFTransport[Index],CONCATENATE($A8,"_CNG_CNG"))</f>
        <v>2.2666995904694958E-4</v>
      </c>
      <c r="E8" s="451">
        <f>vkm_2011_NGW_PW*SUMIFS(TableVerdeelsleutelVkm[LPG],TableVerdeelsleutelVkm[Voertuigtype],"Lichte voertuigen")*SUMIFS(TableECFTransport[EnergieConsumptieFactor (PJ per km)],TableECFTransport[Index],CONCATENATE($A8,"_LPG_LPG"))</f>
        <v>2.8678374677560049E-4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6.9099144051701936E-2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2.5053582070699635E-2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4.7761324041111957E-3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6.8213023749429252E-3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1.957193486562836E-6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3.9861030510410299E-4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9.2659973426562712E-5</v>
      </c>
      <c r="C10" s="449"/>
      <c r="D10" s="451">
        <f>vkm_2011_SW_PW*SUMIFS(TableVerdeelsleutelVkm[CNG],TableVerdeelsleutelVkm[Voertuigtype],"Lichte voertuigen")*SUMIFS(TableECFTransport[EnergieConsumptieFactor (PJ per km)],TableECFTransport[Index],CONCATENATE($A10,"_CNG_CNG"))</f>
        <v>2.907232845841638E-4</v>
      </c>
      <c r="E10" s="451">
        <f>vkm_2011_SW_PW*SUMIFS(TableVerdeelsleutelVkm[LPG],TableVerdeelsleutelVkm[Voertuigtype],"Lichte voertuigen")*SUMIFS(TableECFTransport[EnergieConsumptieFactor (PJ per km)],TableECFTransport[Index],CONCATENATE($A10,"_LPG_LPG"))</f>
        <v>4.9462626879461956E-4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0.11401247563070363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3.4444985564054981E-2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7.6772657108814691E-3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0.15742750009643025</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5.181388235077861E-5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9.1996450162337203E-3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98.638978591649689</v>
      </c>
      <c r="C14" s="21"/>
      <c r="D14" s="21">
        <f t="shared" ref="D14:M14" si="0">((D5)*10^9/3600)+D12</f>
        <v>326.96626446734393</v>
      </c>
      <c r="E14" s="21">
        <f t="shared" si="0"/>
        <v>467.39858501092931</v>
      </c>
      <c r="F14" s="21"/>
      <c r="G14" s="21">
        <f t="shared" si="0"/>
        <v>199708.38721854382</v>
      </c>
      <c r="H14" s="21">
        <f t="shared" si="0"/>
        <v>37396.162914894965</v>
      </c>
      <c r="I14" s="21"/>
      <c r="J14" s="21"/>
      <c r="K14" s="21"/>
      <c r="L14" s="21"/>
      <c r="M14" s="21">
        <f t="shared" si="0"/>
        <v>12771.305941258192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0.21050966187512601</v>
      </c>
      <c r="C16" s="56">
        <f ca="1">'EF ele_warmte'!B22</f>
        <v>0.23482101686688509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20.764458031035968</v>
      </c>
      <c r="C18" s="23"/>
      <c r="D18" s="23">
        <f t="shared" ref="D18:M18" si="1">D14*D16</f>
        <v>66.047185422403473</v>
      </c>
      <c r="E18" s="23">
        <f t="shared" si="1"/>
        <v>106.09947879748096</v>
      </c>
      <c r="F18" s="23"/>
      <c r="G18" s="23">
        <f t="shared" si="1"/>
        <v>53322.139387351206</v>
      </c>
      <c r="H18" s="23">
        <f t="shared" si="1"/>
        <v>9311.6445658088469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1.7800279392830385E-2</v>
      </c>
      <c r="H50" s="321">
        <f t="shared" si="2"/>
        <v>0</v>
      </c>
      <c r="I50" s="321">
        <f t="shared" si="2"/>
        <v>0</v>
      </c>
      <c r="J50" s="321">
        <f t="shared" si="2"/>
        <v>0</v>
      </c>
      <c r="K50" s="321">
        <f t="shared" si="2"/>
        <v>0</v>
      </c>
      <c r="L50" s="321">
        <f t="shared" si="2"/>
        <v>0</v>
      </c>
      <c r="M50" s="321">
        <f t="shared" si="2"/>
        <v>1.0109772888197196E-3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1.7800279392830385E-2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1.0109772888197196E-3</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4944.5220535639965</v>
      </c>
      <c r="H54" s="21">
        <f t="shared" si="3"/>
        <v>0</v>
      </c>
      <c r="I54" s="21">
        <f t="shared" si="3"/>
        <v>0</v>
      </c>
      <c r="J54" s="21">
        <f t="shared" si="3"/>
        <v>0</v>
      </c>
      <c r="K54" s="21">
        <f t="shared" si="3"/>
        <v>0</v>
      </c>
      <c r="L54" s="21">
        <f t="shared" si="3"/>
        <v>0</v>
      </c>
      <c r="M54" s="21">
        <f t="shared" si="3"/>
        <v>280.82702467214432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0.21050966187512601</v>
      </c>
      <c r="C56" s="56">
        <f ca="1">'EF ele_warmte'!B22</f>
        <v>0.23482101686688509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1320.1873883015871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91248.610390573347</v>
      </c>
      <c r="D10" s="1013">
        <f ca="1">tertiair!C16</f>
        <v>1575.0000000000002</v>
      </c>
      <c r="E10" s="1013">
        <f ca="1">tertiair!D16</f>
        <v>124908.41700414071</v>
      </c>
      <c r="F10" s="1013">
        <f>tertiair!E16</f>
        <v>1397.6460222226658</v>
      </c>
      <c r="G10" s="1013">
        <f ca="1">tertiair!F16</f>
        <v>14835.785260119985</v>
      </c>
      <c r="H10" s="1013">
        <f>tertiair!G16</f>
        <v>0</v>
      </c>
      <c r="I10" s="1013">
        <f>tertiair!H16</f>
        <v>0</v>
      </c>
      <c r="J10" s="1013">
        <f>tertiair!I16</f>
        <v>0</v>
      </c>
      <c r="K10" s="1013">
        <f>tertiair!J16</f>
        <v>9.8150430154644863E-2</v>
      </c>
      <c r="L10" s="1013">
        <f>tertiair!K16</f>
        <v>0</v>
      </c>
      <c r="M10" s="1013">
        <f ca="1">tertiair!L16</f>
        <v>0</v>
      </c>
      <c r="N10" s="1013">
        <f>tertiair!M16</f>
        <v>0</v>
      </c>
      <c r="O10" s="1013">
        <f ca="1">tertiair!N16</f>
        <v>344.68532052635237</v>
      </c>
      <c r="P10" s="1013">
        <f>tertiair!O16</f>
        <v>6.2533333333333339</v>
      </c>
      <c r="Q10" s="1014">
        <f>tertiair!P16</f>
        <v>152.53333333333333</v>
      </c>
      <c r="R10" s="700">
        <f ca="1">SUM(C10:Q10)</f>
        <v>234469.02881467988</v>
      </c>
      <c r="S10" s="67"/>
    </row>
    <row r="11" spans="1:19" s="473" customFormat="1">
      <c r="A11" s="809" t="s">
        <v>225</v>
      </c>
      <c r="B11" s="814"/>
      <c r="C11" s="1013">
        <f>huishoudens!B8</f>
        <v>58774.040116489909</v>
      </c>
      <c r="D11" s="1013">
        <f>huishoudens!C8</f>
        <v>0</v>
      </c>
      <c r="E11" s="1013">
        <f>huishoudens!D8</f>
        <v>232776.92915841215</v>
      </c>
      <c r="F11" s="1013">
        <f>huishoudens!E8</f>
        <v>3779.1175776386522</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26166.913115592077</v>
      </c>
      <c r="P11" s="1013">
        <f>huishoudens!O8</f>
        <v>378.32666666666671</v>
      </c>
      <c r="Q11" s="1014">
        <f>huishoudens!P8</f>
        <v>991.4666666666667</v>
      </c>
      <c r="R11" s="700">
        <f>SUM(C11:Q11)</f>
        <v>322866.79330146615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183653.95829885313</v>
      </c>
      <c r="D13" s="1013">
        <f>industrie!C18</f>
        <v>4082.1428571428573</v>
      </c>
      <c r="E13" s="1013">
        <f>industrie!D18</f>
        <v>141010.50712827657</v>
      </c>
      <c r="F13" s="1013">
        <f>industrie!E18</f>
        <v>8889.0890927761338</v>
      </c>
      <c r="G13" s="1013">
        <f>industrie!F18</f>
        <v>31072.794253665947</v>
      </c>
      <c r="H13" s="1013">
        <f>industrie!G18</f>
        <v>0</v>
      </c>
      <c r="I13" s="1013">
        <f>industrie!H18</f>
        <v>0</v>
      </c>
      <c r="J13" s="1013">
        <f>industrie!I18</f>
        <v>0</v>
      </c>
      <c r="K13" s="1013">
        <f>industrie!J18</f>
        <v>372.56779451207638</v>
      </c>
      <c r="L13" s="1013">
        <f>industrie!K18</f>
        <v>0</v>
      </c>
      <c r="M13" s="1013">
        <f>industrie!L18</f>
        <v>0</v>
      </c>
      <c r="N13" s="1013">
        <f>industrie!M18</f>
        <v>0</v>
      </c>
      <c r="O13" s="1013">
        <f>industrie!N18</f>
        <v>107097.80840529971</v>
      </c>
      <c r="P13" s="1013">
        <f>industrie!O18</f>
        <v>0</v>
      </c>
      <c r="Q13" s="1014">
        <f>industrie!P18</f>
        <v>0</v>
      </c>
      <c r="R13" s="700">
        <f>SUM(C13:Q13)</f>
        <v>476178.86783052649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333676.60880591639</v>
      </c>
      <c r="D16" s="732">
        <f t="shared" ref="D16:R16" ca="1" si="0">SUM(D9:D15)</f>
        <v>5657.1428571428578</v>
      </c>
      <c r="E16" s="732">
        <f t="shared" ca="1" si="0"/>
        <v>498695.8532908294</v>
      </c>
      <c r="F16" s="732">
        <f t="shared" si="0"/>
        <v>14065.852692637451</v>
      </c>
      <c r="G16" s="732">
        <f t="shared" ca="1" si="0"/>
        <v>45908.579513785931</v>
      </c>
      <c r="H16" s="732">
        <f t="shared" si="0"/>
        <v>0</v>
      </c>
      <c r="I16" s="732">
        <f t="shared" si="0"/>
        <v>0</v>
      </c>
      <c r="J16" s="732">
        <f t="shared" si="0"/>
        <v>0</v>
      </c>
      <c r="K16" s="732">
        <f t="shared" si="0"/>
        <v>372.66594494223102</v>
      </c>
      <c r="L16" s="732">
        <f t="shared" si="0"/>
        <v>0</v>
      </c>
      <c r="M16" s="732">
        <f t="shared" ca="1" si="0"/>
        <v>0</v>
      </c>
      <c r="N16" s="732">
        <f t="shared" si="0"/>
        <v>0</v>
      </c>
      <c r="O16" s="732">
        <f t="shared" ca="1" si="0"/>
        <v>133609.40684141815</v>
      </c>
      <c r="P16" s="732">
        <f t="shared" si="0"/>
        <v>384.58000000000004</v>
      </c>
      <c r="Q16" s="732">
        <f t="shared" si="0"/>
        <v>1144</v>
      </c>
      <c r="R16" s="732">
        <f t="shared" ca="1" si="0"/>
        <v>1033514.6899466726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4944.5220535639965</v>
      </c>
      <c r="I19" s="1013">
        <f>transport!H54</f>
        <v>0</v>
      </c>
      <c r="J19" s="1013">
        <f>transport!I54</f>
        <v>0</v>
      </c>
      <c r="K19" s="1013">
        <f>transport!J54</f>
        <v>0</v>
      </c>
      <c r="L19" s="1013">
        <f>transport!K54</f>
        <v>0</v>
      </c>
      <c r="M19" s="1013">
        <f>transport!L54</f>
        <v>0</v>
      </c>
      <c r="N19" s="1013">
        <f>transport!M54</f>
        <v>280.82702467214432</v>
      </c>
      <c r="O19" s="1013">
        <f>transport!N54</f>
        <v>0</v>
      </c>
      <c r="P19" s="1013">
        <f>transport!O54</f>
        <v>0</v>
      </c>
      <c r="Q19" s="1014">
        <f>transport!P54</f>
        <v>0</v>
      </c>
      <c r="R19" s="700">
        <f>SUM(C19:Q19)</f>
        <v>5225.3490782361405</v>
      </c>
      <c r="S19" s="67"/>
    </row>
    <row r="20" spans="1:19" s="473" customFormat="1">
      <c r="A20" s="809" t="s">
        <v>307</v>
      </c>
      <c r="B20" s="814"/>
      <c r="C20" s="1013">
        <f>transport!B14</f>
        <v>98.638978591649689</v>
      </c>
      <c r="D20" s="1013">
        <f>transport!C14</f>
        <v>0</v>
      </c>
      <c r="E20" s="1013">
        <f>transport!D14</f>
        <v>326.96626446734393</v>
      </c>
      <c r="F20" s="1013">
        <f>transport!E14</f>
        <v>467.39858501092931</v>
      </c>
      <c r="G20" s="1013">
        <f>transport!F14</f>
        <v>0</v>
      </c>
      <c r="H20" s="1013">
        <f>transport!G14</f>
        <v>199708.38721854382</v>
      </c>
      <c r="I20" s="1013">
        <f>transport!H14</f>
        <v>37396.162914894965</v>
      </c>
      <c r="J20" s="1013">
        <f>transport!I14</f>
        <v>0</v>
      </c>
      <c r="K20" s="1013">
        <f>transport!J14</f>
        <v>0</v>
      </c>
      <c r="L20" s="1013">
        <f>transport!K14</f>
        <v>0</v>
      </c>
      <c r="M20" s="1013">
        <f>transport!L14</f>
        <v>0</v>
      </c>
      <c r="N20" s="1013">
        <f>transport!M14</f>
        <v>12771.305941258192</v>
      </c>
      <c r="O20" s="1013">
        <f>transport!N14</f>
        <v>0</v>
      </c>
      <c r="P20" s="1013">
        <f>transport!O14</f>
        <v>0</v>
      </c>
      <c r="Q20" s="1014">
        <f>transport!P14</f>
        <v>0</v>
      </c>
      <c r="R20" s="700">
        <f>SUM(C20:Q20)</f>
        <v>250768.85990276688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98.638978591649689</v>
      </c>
      <c r="D22" s="812">
        <f t="shared" ref="D22:R22" si="1">SUM(D18:D21)</f>
        <v>0</v>
      </c>
      <c r="E22" s="812">
        <f t="shared" si="1"/>
        <v>326.96626446734393</v>
      </c>
      <c r="F22" s="812">
        <f t="shared" si="1"/>
        <v>467.39858501092931</v>
      </c>
      <c r="G22" s="812">
        <f t="shared" si="1"/>
        <v>0</v>
      </c>
      <c r="H22" s="812">
        <f t="shared" si="1"/>
        <v>204652.90927210782</v>
      </c>
      <c r="I22" s="812">
        <f t="shared" si="1"/>
        <v>37396.162914894965</v>
      </c>
      <c r="J22" s="812">
        <f t="shared" si="1"/>
        <v>0</v>
      </c>
      <c r="K22" s="812">
        <f t="shared" si="1"/>
        <v>0</v>
      </c>
      <c r="L22" s="812">
        <f t="shared" si="1"/>
        <v>0</v>
      </c>
      <c r="M22" s="812">
        <f t="shared" si="1"/>
        <v>0</v>
      </c>
      <c r="N22" s="812">
        <f t="shared" si="1"/>
        <v>13052.132965930336</v>
      </c>
      <c r="O22" s="812">
        <f t="shared" si="1"/>
        <v>0</v>
      </c>
      <c r="P22" s="812">
        <f t="shared" si="1"/>
        <v>0</v>
      </c>
      <c r="Q22" s="812">
        <f t="shared" si="1"/>
        <v>0</v>
      </c>
      <c r="R22" s="812">
        <f t="shared" si="1"/>
        <v>255994.20898100303</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1367.5681767155779</v>
      </c>
      <c r="D24" s="1013">
        <f>+landbouw!C8</f>
        <v>0</v>
      </c>
      <c r="E24" s="1013">
        <f>+landbouw!D8</f>
        <v>2436.0107027848262</v>
      </c>
      <c r="F24" s="1013">
        <f>+landbouw!E8</f>
        <v>40.197005749002209</v>
      </c>
      <c r="G24" s="1013">
        <f>+landbouw!F8</f>
        <v>5697.215124691641</v>
      </c>
      <c r="H24" s="1013">
        <f>+landbouw!G8</f>
        <v>0</v>
      </c>
      <c r="I24" s="1013">
        <f>+landbouw!H8</f>
        <v>0</v>
      </c>
      <c r="J24" s="1013">
        <f>+landbouw!I8</f>
        <v>0</v>
      </c>
      <c r="K24" s="1013">
        <f>+landbouw!J8</f>
        <v>198.13125994331025</v>
      </c>
      <c r="L24" s="1013">
        <f>+landbouw!K8</f>
        <v>0</v>
      </c>
      <c r="M24" s="1013">
        <f>+landbouw!L8</f>
        <v>0</v>
      </c>
      <c r="N24" s="1013">
        <f>+landbouw!M8</f>
        <v>0</v>
      </c>
      <c r="O24" s="1013">
        <f>+landbouw!N8</f>
        <v>0</v>
      </c>
      <c r="P24" s="1013">
        <f>+landbouw!O8</f>
        <v>0</v>
      </c>
      <c r="Q24" s="1014">
        <f>+landbouw!P8</f>
        <v>0</v>
      </c>
      <c r="R24" s="700">
        <f>SUM(C24:Q24)</f>
        <v>9739.1222698843576</v>
      </c>
      <c r="S24" s="67"/>
    </row>
    <row r="25" spans="1:19" s="473" customFormat="1" ht="15" thickBot="1">
      <c r="A25" s="831" t="s">
        <v>836</v>
      </c>
      <c r="B25" s="1016"/>
      <c r="C25" s="1017">
        <f>IF(Onbekend_ele_kWh="---",0,Onbekend_ele_kWh)/1000+IF(REST_rest_ele_kWh="---",0,REST_rest_ele_kWh)/1000</f>
        <v>4240.7395149418899</v>
      </c>
      <c r="D25" s="1017"/>
      <c r="E25" s="1017">
        <f>IF(onbekend_gas_kWh="---",0,onbekend_gas_kWh)/1000+IF(REST_rest_gas_kWh="---",0,REST_rest_gas_kWh)/1000</f>
        <v>8170.8921697199903</v>
      </c>
      <c r="F25" s="1017"/>
      <c r="G25" s="1017"/>
      <c r="H25" s="1017"/>
      <c r="I25" s="1017"/>
      <c r="J25" s="1017"/>
      <c r="K25" s="1017"/>
      <c r="L25" s="1017"/>
      <c r="M25" s="1017"/>
      <c r="N25" s="1017"/>
      <c r="O25" s="1017"/>
      <c r="P25" s="1017"/>
      <c r="Q25" s="1018"/>
      <c r="R25" s="700">
        <f>SUM(C25:Q25)</f>
        <v>12411.631684661879</v>
      </c>
      <c r="S25" s="67"/>
    </row>
    <row r="26" spans="1:19" s="473" customFormat="1" ht="15.75" thickBot="1">
      <c r="A26" s="705" t="s">
        <v>837</v>
      </c>
      <c r="B26" s="817"/>
      <c r="C26" s="812">
        <f>SUM(C24:C25)</f>
        <v>5608.3076916574682</v>
      </c>
      <c r="D26" s="812">
        <f t="shared" ref="D26:R26" si="2">SUM(D24:D25)</f>
        <v>0</v>
      </c>
      <c r="E26" s="812">
        <f t="shared" si="2"/>
        <v>10606.902872504816</v>
      </c>
      <c r="F26" s="812">
        <f t="shared" si="2"/>
        <v>40.197005749002209</v>
      </c>
      <c r="G26" s="812">
        <f t="shared" si="2"/>
        <v>5697.215124691641</v>
      </c>
      <c r="H26" s="812">
        <f t="shared" si="2"/>
        <v>0</v>
      </c>
      <c r="I26" s="812">
        <f t="shared" si="2"/>
        <v>0</v>
      </c>
      <c r="J26" s="812">
        <f t="shared" si="2"/>
        <v>0</v>
      </c>
      <c r="K26" s="812">
        <f t="shared" si="2"/>
        <v>198.13125994331025</v>
      </c>
      <c r="L26" s="812">
        <f t="shared" si="2"/>
        <v>0</v>
      </c>
      <c r="M26" s="812">
        <f t="shared" si="2"/>
        <v>0</v>
      </c>
      <c r="N26" s="812">
        <f t="shared" si="2"/>
        <v>0</v>
      </c>
      <c r="O26" s="812">
        <f t="shared" si="2"/>
        <v>0</v>
      </c>
      <c r="P26" s="812">
        <f t="shared" si="2"/>
        <v>0</v>
      </c>
      <c r="Q26" s="812">
        <f t="shared" si="2"/>
        <v>0</v>
      </c>
      <c r="R26" s="812">
        <f t="shared" si="2"/>
        <v>22150.753954546235</v>
      </c>
      <c r="S26" s="67"/>
    </row>
    <row r="27" spans="1:19" s="473" customFormat="1" ht="17.25" thickTop="1" thickBot="1">
      <c r="A27" s="706" t="s">
        <v>116</v>
      </c>
      <c r="B27" s="805"/>
      <c r="C27" s="707">
        <f ca="1">C22+C16+C26</f>
        <v>339383.55547616549</v>
      </c>
      <c r="D27" s="707">
        <f t="shared" ref="D27:R27" ca="1" si="3">D22+D16+D26</f>
        <v>5657.1428571428578</v>
      </c>
      <c r="E27" s="707">
        <f t="shared" ca="1" si="3"/>
        <v>509629.72242780158</v>
      </c>
      <c r="F27" s="707">
        <f t="shared" si="3"/>
        <v>14573.448283397382</v>
      </c>
      <c r="G27" s="707">
        <f t="shared" ca="1" si="3"/>
        <v>51605.794638477571</v>
      </c>
      <c r="H27" s="707">
        <f t="shared" si="3"/>
        <v>204652.90927210782</v>
      </c>
      <c r="I27" s="707">
        <f t="shared" si="3"/>
        <v>37396.162914894965</v>
      </c>
      <c r="J27" s="707">
        <f t="shared" si="3"/>
        <v>0</v>
      </c>
      <c r="K27" s="707">
        <f t="shared" si="3"/>
        <v>570.7972048855413</v>
      </c>
      <c r="L27" s="707">
        <f t="shared" si="3"/>
        <v>0</v>
      </c>
      <c r="M27" s="707">
        <f t="shared" ca="1" si="3"/>
        <v>0</v>
      </c>
      <c r="N27" s="707">
        <f t="shared" si="3"/>
        <v>13052.132965930336</v>
      </c>
      <c r="O27" s="707">
        <f t="shared" ca="1" si="3"/>
        <v>133609.40684141815</v>
      </c>
      <c r="P27" s="707">
        <f t="shared" si="3"/>
        <v>384.58000000000004</v>
      </c>
      <c r="Q27" s="707">
        <f t="shared" si="3"/>
        <v>1144</v>
      </c>
      <c r="R27" s="707">
        <f t="shared" ca="1" si="3"/>
        <v>1311659.6528822219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19208.714119894707</v>
      </c>
      <c r="D40" s="1013">
        <f ca="1">tertiair!C20</f>
        <v>369.84310156534406</v>
      </c>
      <c r="E40" s="1013">
        <f ca="1">tertiair!D20</f>
        <v>25231.500234836425</v>
      </c>
      <c r="F40" s="1013">
        <f>tertiair!E20</f>
        <v>317.26564704454518</v>
      </c>
      <c r="G40" s="1013">
        <f ca="1">tertiair!F20</f>
        <v>3961.1546644520363</v>
      </c>
      <c r="H40" s="1013">
        <f>tertiair!G20</f>
        <v>0</v>
      </c>
      <c r="I40" s="1013">
        <f>tertiair!H20</f>
        <v>0</v>
      </c>
      <c r="J40" s="1013">
        <f>tertiair!I20</f>
        <v>0</v>
      </c>
      <c r="K40" s="1013">
        <f>tertiair!J20</f>
        <v>3.474525227474428E-2</v>
      </c>
      <c r="L40" s="1013">
        <f>tertiair!K20</f>
        <v>0</v>
      </c>
      <c r="M40" s="1013">
        <f ca="1">tertiair!L20</f>
        <v>0</v>
      </c>
      <c r="N40" s="1013">
        <f>tertiair!M20</f>
        <v>0</v>
      </c>
      <c r="O40" s="1013">
        <f ca="1">tertiair!N20</f>
        <v>0</v>
      </c>
      <c r="P40" s="1013">
        <f>tertiair!O20</f>
        <v>0</v>
      </c>
      <c r="Q40" s="774">
        <f>tertiair!P20</f>
        <v>0</v>
      </c>
      <c r="R40" s="850">
        <f t="shared" ca="1" si="4"/>
        <v>49088.512513045331</v>
      </c>
    </row>
    <row r="41" spans="1:18">
      <c r="A41" s="822" t="s">
        <v>225</v>
      </c>
      <c r="B41" s="829"/>
      <c r="C41" s="1013">
        <f ca="1">huishoudens!B12</f>
        <v>12372.503311957382</v>
      </c>
      <c r="D41" s="1013">
        <f ca="1">huishoudens!C12</f>
        <v>0</v>
      </c>
      <c r="E41" s="1013">
        <f>huishoudens!D12</f>
        <v>47020.939689999257</v>
      </c>
      <c r="F41" s="1013">
        <f>huishoudens!E12</f>
        <v>857.85969012397402</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60251.302692080608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38660.932663520063</v>
      </c>
      <c r="D43" s="1013">
        <f ca="1">industrie!C22</f>
        <v>958.57293671017737</v>
      </c>
      <c r="E43" s="1013">
        <f>industrie!D22</f>
        <v>28484.122439911869</v>
      </c>
      <c r="F43" s="1013">
        <f>industrie!E22</f>
        <v>2017.8232240601824</v>
      </c>
      <c r="G43" s="1013">
        <f>industrie!F22</f>
        <v>8296.4360657288089</v>
      </c>
      <c r="H43" s="1013">
        <f>industrie!G22</f>
        <v>0</v>
      </c>
      <c r="I43" s="1013">
        <f>industrie!H22</f>
        <v>0</v>
      </c>
      <c r="J43" s="1013">
        <f>industrie!I22</f>
        <v>0</v>
      </c>
      <c r="K43" s="1013">
        <f>industrie!J22</f>
        <v>131.88899925727503</v>
      </c>
      <c r="L43" s="1013">
        <f>industrie!K22</f>
        <v>0</v>
      </c>
      <c r="M43" s="1013">
        <f>industrie!L22</f>
        <v>0</v>
      </c>
      <c r="N43" s="1013">
        <f>industrie!M22</f>
        <v>0</v>
      </c>
      <c r="O43" s="1013">
        <f>industrie!N22</f>
        <v>0</v>
      </c>
      <c r="P43" s="1013">
        <f>industrie!O22</f>
        <v>0</v>
      </c>
      <c r="Q43" s="774">
        <f>industrie!P22</f>
        <v>0</v>
      </c>
      <c r="R43" s="849">
        <f t="shared" ca="1" si="4"/>
        <v>78549.776329188375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70242.150095372155</v>
      </c>
      <c r="D46" s="732">
        <f t="shared" ref="D46:Q46" ca="1" si="5">SUM(D39:D45)</f>
        <v>1328.4160382755215</v>
      </c>
      <c r="E46" s="732">
        <f t="shared" ca="1" si="5"/>
        <v>100736.56236474754</v>
      </c>
      <c r="F46" s="732">
        <f t="shared" si="5"/>
        <v>3192.9485612287017</v>
      </c>
      <c r="G46" s="732">
        <f t="shared" ca="1" si="5"/>
        <v>12257.590730180846</v>
      </c>
      <c r="H46" s="732">
        <f t="shared" si="5"/>
        <v>0</v>
      </c>
      <c r="I46" s="732">
        <f t="shared" si="5"/>
        <v>0</v>
      </c>
      <c r="J46" s="732">
        <f t="shared" si="5"/>
        <v>0</v>
      </c>
      <c r="K46" s="732">
        <f t="shared" si="5"/>
        <v>131.92374450954978</v>
      </c>
      <c r="L46" s="732">
        <f t="shared" si="5"/>
        <v>0</v>
      </c>
      <c r="M46" s="732">
        <f t="shared" ca="1" si="5"/>
        <v>0</v>
      </c>
      <c r="N46" s="732">
        <f t="shared" si="5"/>
        <v>0</v>
      </c>
      <c r="O46" s="732">
        <f t="shared" ca="1" si="5"/>
        <v>0</v>
      </c>
      <c r="P46" s="732">
        <f t="shared" si="5"/>
        <v>0</v>
      </c>
      <c r="Q46" s="732">
        <f t="shared" si="5"/>
        <v>0</v>
      </c>
      <c r="R46" s="732">
        <f ca="1">SUM(R39:R45)</f>
        <v>187889.59153431433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1320.1873883015871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1320.1873883015871</v>
      </c>
    </row>
    <row r="50" spans="1:18">
      <c r="A50" s="825" t="s">
        <v>307</v>
      </c>
      <c r="B50" s="835"/>
      <c r="C50" s="703">
        <f ca="1">transport!B18</f>
        <v>20.764458031035968</v>
      </c>
      <c r="D50" s="703">
        <f>transport!C18</f>
        <v>0</v>
      </c>
      <c r="E50" s="703">
        <f>transport!D18</f>
        <v>66.047185422403473</v>
      </c>
      <c r="F50" s="703">
        <f>transport!E18</f>
        <v>106.09947879748096</v>
      </c>
      <c r="G50" s="703">
        <f>transport!F18</f>
        <v>0</v>
      </c>
      <c r="H50" s="703">
        <f>transport!G18</f>
        <v>53322.139387351206</v>
      </c>
      <c r="I50" s="703">
        <f>transport!H18</f>
        <v>9311.6445658088469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62826.695075410978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20.764458031035968</v>
      </c>
      <c r="D52" s="732">
        <f t="shared" ref="D52:Q52" ca="1" si="6">SUM(D48:D51)</f>
        <v>0</v>
      </c>
      <c r="E52" s="732">
        <f t="shared" si="6"/>
        <v>66.047185422403473</v>
      </c>
      <c r="F52" s="732">
        <f t="shared" si="6"/>
        <v>106.09947879748096</v>
      </c>
      <c r="G52" s="732">
        <f t="shared" si="6"/>
        <v>0</v>
      </c>
      <c r="H52" s="732">
        <f t="shared" si="6"/>
        <v>54642.326775652793</v>
      </c>
      <c r="I52" s="732">
        <f t="shared" si="6"/>
        <v>9311.6445658088469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64146.882463712565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287.88631447157888</v>
      </c>
      <c r="D54" s="703">
        <f ca="1">+landbouw!C12</f>
        <v>0</v>
      </c>
      <c r="E54" s="703">
        <f>+landbouw!D12</f>
        <v>492.0741619625349</v>
      </c>
      <c r="F54" s="703">
        <f>+landbouw!E12</f>
        <v>9.1247203050235015</v>
      </c>
      <c r="G54" s="703">
        <f>+landbouw!F12</f>
        <v>1521.1564382926683</v>
      </c>
      <c r="H54" s="703">
        <f>+landbouw!G12</f>
        <v>0</v>
      </c>
      <c r="I54" s="703">
        <f>+landbouw!H12</f>
        <v>0</v>
      </c>
      <c r="J54" s="703">
        <f>+landbouw!I12</f>
        <v>0</v>
      </c>
      <c r="K54" s="703">
        <f>+landbouw!J12</f>
        <v>70.138466019931826</v>
      </c>
      <c r="L54" s="703">
        <f>+landbouw!K12</f>
        <v>0</v>
      </c>
      <c r="M54" s="703">
        <f>+landbouw!L12</f>
        <v>0</v>
      </c>
      <c r="N54" s="703">
        <f>+landbouw!M12</f>
        <v>0</v>
      </c>
      <c r="O54" s="703">
        <f>+landbouw!N12</f>
        <v>0</v>
      </c>
      <c r="P54" s="703">
        <f>+landbouw!O12</f>
        <v>0</v>
      </c>
      <c r="Q54" s="704">
        <f>+landbouw!P12</f>
        <v>0</v>
      </c>
      <c r="R54" s="731">
        <f ca="1">SUM(C54:Q54)</f>
        <v>2380.3801010517377</v>
      </c>
    </row>
    <row r="55" spans="1:18" ht="15" thickBot="1">
      <c r="A55" s="825" t="s">
        <v>836</v>
      </c>
      <c r="B55" s="835"/>
      <c r="C55" s="703">
        <f ca="1">C25*'EF ele_warmte'!B12</f>
        <v>892.71664139090319</v>
      </c>
      <c r="D55" s="703"/>
      <c r="E55" s="703">
        <f>E25*EF_CO2_aardgas</f>
        <v>1650.5202182834382</v>
      </c>
      <c r="F55" s="703"/>
      <c r="G55" s="703"/>
      <c r="H55" s="703"/>
      <c r="I55" s="703"/>
      <c r="J55" s="703"/>
      <c r="K55" s="703"/>
      <c r="L55" s="703"/>
      <c r="M55" s="703"/>
      <c r="N55" s="703"/>
      <c r="O55" s="703"/>
      <c r="P55" s="703"/>
      <c r="Q55" s="704"/>
      <c r="R55" s="731">
        <f ca="1">SUM(C55:Q55)</f>
        <v>2543.2368596743413</v>
      </c>
    </row>
    <row r="56" spans="1:18" ht="15.75" thickBot="1">
      <c r="A56" s="823" t="s">
        <v>837</v>
      </c>
      <c r="B56" s="836"/>
      <c r="C56" s="732">
        <f ca="1">SUM(C54:C55)</f>
        <v>1180.6029558624821</v>
      </c>
      <c r="D56" s="732">
        <f t="shared" ref="D56:Q56" ca="1" si="7">SUM(D54:D55)</f>
        <v>0</v>
      </c>
      <c r="E56" s="732">
        <f t="shared" si="7"/>
        <v>2142.5943802459733</v>
      </c>
      <c r="F56" s="732">
        <f t="shared" si="7"/>
        <v>9.1247203050235015</v>
      </c>
      <c r="G56" s="732">
        <f t="shared" si="7"/>
        <v>1521.1564382926683</v>
      </c>
      <c r="H56" s="732">
        <f t="shared" si="7"/>
        <v>0</v>
      </c>
      <c r="I56" s="732">
        <f t="shared" si="7"/>
        <v>0</v>
      </c>
      <c r="J56" s="732">
        <f t="shared" si="7"/>
        <v>0</v>
      </c>
      <c r="K56" s="732">
        <f t="shared" si="7"/>
        <v>70.138466019931826</v>
      </c>
      <c r="L56" s="732">
        <f t="shared" si="7"/>
        <v>0</v>
      </c>
      <c r="M56" s="732">
        <f t="shared" si="7"/>
        <v>0</v>
      </c>
      <c r="N56" s="732">
        <f t="shared" si="7"/>
        <v>0</v>
      </c>
      <c r="O56" s="732">
        <f t="shared" si="7"/>
        <v>0</v>
      </c>
      <c r="P56" s="732">
        <f t="shared" si="7"/>
        <v>0</v>
      </c>
      <c r="Q56" s="733">
        <f t="shared" si="7"/>
        <v>0</v>
      </c>
      <c r="R56" s="734">
        <f ca="1">SUM(R54:R55)</f>
        <v>4923.616960726079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71443.517509265672</v>
      </c>
      <c r="D61" s="740">
        <f t="shared" ref="D61:Q61" ca="1" si="8">D46+D52+D56</f>
        <v>1328.4160382755215</v>
      </c>
      <c r="E61" s="740">
        <f t="shared" ca="1" si="8"/>
        <v>102945.20393041591</v>
      </c>
      <c r="F61" s="740">
        <f t="shared" si="8"/>
        <v>3308.1727603312061</v>
      </c>
      <c r="G61" s="740">
        <f t="shared" ca="1" si="8"/>
        <v>13778.747168473514</v>
      </c>
      <c r="H61" s="740">
        <f t="shared" si="8"/>
        <v>54642.326775652793</v>
      </c>
      <c r="I61" s="740">
        <f t="shared" si="8"/>
        <v>9311.6445658088469</v>
      </c>
      <c r="J61" s="740">
        <f t="shared" si="8"/>
        <v>0</v>
      </c>
      <c r="K61" s="740">
        <f t="shared" si="8"/>
        <v>202.0622105294816</v>
      </c>
      <c r="L61" s="740">
        <f t="shared" si="8"/>
        <v>0</v>
      </c>
      <c r="M61" s="740">
        <f t="shared" ca="1" si="8"/>
        <v>0</v>
      </c>
      <c r="N61" s="740">
        <f t="shared" si="8"/>
        <v>0</v>
      </c>
      <c r="O61" s="740">
        <f t="shared" ca="1" si="8"/>
        <v>0</v>
      </c>
      <c r="P61" s="740">
        <f t="shared" si="8"/>
        <v>0</v>
      </c>
      <c r="Q61" s="740">
        <f t="shared" si="8"/>
        <v>0</v>
      </c>
      <c r="R61" s="740">
        <f ca="1">R46+R52+R56</f>
        <v>256960.09095875296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0.21050966187512601</v>
      </c>
      <c r="D63" s="781">
        <f t="shared" ca="1" si="9"/>
        <v>0.23482101686688509</v>
      </c>
      <c r="E63" s="1024">
        <f t="shared" ca="1" si="9"/>
        <v>0.20199999999999999</v>
      </c>
      <c r="F63" s="781">
        <f t="shared" si="9"/>
        <v>0.22700000000000004</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14967.124103968808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3172.5</v>
      </c>
      <c r="D76" s="1034">
        <f>'lokale energieproductie'!C8</f>
        <v>3687.9686931197666</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744.96967601019287</v>
      </c>
      <c r="R76" s="852">
        <v>0</v>
      </c>
    </row>
    <row r="77" spans="1:18" ht="30.75" thickBot="1">
      <c r="A77" s="753" t="s">
        <v>353</v>
      </c>
      <c r="B77" s="750">
        <f>'lokale energieproductie'!B9*IFERROR(SUM(I77:O77)/SUM(D77:O77),0)</f>
        <v>1341</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3831.4285714285716</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16308.124103968808</v>
      </c>
      <c r="C78" s="755">
        <f>SUM(C72:C77)</f>
        <v>3172.5</v>
      </c>
      <c r="D78" s="756">
        <f t="shared" ref="D78:H78" si="10">SUM(D76:D77)</f>
        <v>3687.9686931197666</v>
      </c>
      <c r="E78" s="756">
        <f t="shared" si="10"/>
        <v>0</v>
      </c>
      <c r="F78" s="756">
        <f t="shared" si="10"/>
        <v>0</v>
      </c>
      <c r="G78" s="756">
        <f t="shared" si="10"/>
        <v>0</v>
      </c>
      <c r="H78" s="756">
        <f t="shared" si="10"/>
        <v>0</v>
      </c>
      <c r="I78" s="756">
        <f>SUM(I76:I77)</f>
        <v>0</v>
      </c>
      <c r="J78" s="756">
        <f>SUM(J76:J77)</f>
        <v>3831.4285714285716</v>
      </c>
      <c r="K78" s="756">
        <f t="shared" ref="K78:L78" si="11">SUM(K76:K77)</f>
        <v>0</v>
      </c>
      <c r="L78" s="756">
        <f t="shared" si="11"/>
        <v>0</v>
      </c>
      <c r="M78" s="756">
        <f>SUM(M76:M77)</f>
        <v>0</v>
      </c>
      <c r="N78" s="756">
        <f>SUM(N76:N77)</f>
        <v>0</v>
      </c>
      <c r="O78" s="860">
        <f>SUM(O76:O77)</f>
        <v>0</v>
      </c>
      <c r="P78" s="757">
        <v>0</v>
      </c>
      <c r="Q78" s="757">
        <f>SUM(Q76:Q77)</f>
        <v>744.96967601019287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5657.1428571428578</v>
      </c>
      <c r="D87" s="777">
        <f>'lokale energieproductie'!C17</f>
        <v>6576.3170211659472</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1328.4160382755215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5657.1428571428578</v>
      </c>
      <c r="D90" s="755">
        <f t="shared" ref="D90:H90" si="12">SUM(D87:D89)</f>
        <v>6576.3170211659472</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1328.4160382755215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14967.124103968808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3172.5</v>
      </c>
      <c r="C8" s="570">
        <f>B101</f>
        <v>3687.9686931197666</v>
      </c>
      <c r="D8" s="1044"/>
      <c r="E8" s="1044">
        <f>E101</f>
        <v>0</v>
      </c>
      <c r="F8" s="1045"/>
      <c r="G8" s="571"/>
      <c r="H8" s="1044">
        <f>I101</f>
        <v>0</v>
      </c>
      <c r="I8" s="1044">
        <f>G101+F101</f>
        <v>0</v>
      </c>
      <c r="J8" s="1044">
        <f>H101+D101+C101</f>
        <v>0</v>
      </c>
      <c r="K8" s="1044"/>
      <c r="L8" s="1044"/>
      <c r="M8" s="1044"/>
      <c r="N8" s="572"/>
      <c r="O8" s="573">
        <f>C8*$C$12+D8*$D$12+E8*$E$12+F8*$F$12+G8*$G$12+H8*$H$12+I8*$I$12+J8*$J$12</f>
        <v>744.96967601019287</v>
      </c>
      <c r="P8" s="1238"/>
      <c r="Q8" s="1239"/>
      <c r="S8" s="1007"/>
      <c r="T8" s="1275"/>
      <c r="U8" s="1275"/>
    </row>
    <row r="9" spans="1:21" s="559" customFormat="1" ht="17.45" customHeight="1" thickBot="1">
      <c r="A9" s="574" t="s">
        <v>248</v>
      </c>
      <c r="B9" s="575">
        <f>N89+'Eigen informatie GS &amp; warmtenet'!B12</f>
        <v>1341</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19480.62410396881</v>
      </c>
      <c r="C10" s="583">
        <f t="shared" ref="C10:L10" si="0">SUM(C8:C9)</f>
        <v>3687.9686931197666</v>
      </c>
      <c r="D10" s="583">
        <f t="shared" si="0"/>
        <v>0</v>
      </c>
      <c r="E10" s="583">
        <f t="shared" si="0"/>
        <v>0</v>
      </c>
      <c r="F10" s="583">
        <f t="shared" si="0"/>
        <v>0</v>
      </c>
      <c r="G10" s="583">
        <f t="shared" si="0"/>
        <v>0</v>
      </c>
      <c r="H10" s="583">
        <f t="shared" si="0"/>
        <v>0</v>
      </c>
      <c r="I10" s="583">
        <f t="shared" si="0"/>
        <v>0</v>
      </c>
      <c r="J10" s="583">
        <f t="shared" si="0"/>
        <v>3831.4285714285716</v>
      </c>
      <c r="K10" s="583">
        <f t="shared" si="0"/>
        <v>0</v>
      </c>
      <c r="L10" s="583">
        <f t="shared" si="0"/>
        <v>0</v>
      </c>
      <c r="M10" s="1047"/>
      <c r="N10" s="1047"/>
      <c r="O10" s="584">
        <f>SUM(O4:O9)</f>
        <v>744.96967601019287</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5657.1428571428578</v>
      </c>
      <c r="C17" s="595">
        <f>B102</f>
        <v>6576.3170211659472</v>
      </c>
      <c r="D17" s="596"/>
      <c r="E17" s="596">
        <f>E102</f>
        <v>0</v>
      </c>
      <c r="F17" s="1050"/>
      <c r="G17" s="597"/>
      <c r="H17" s="595">
        <f>I102</f>
        <v>0</v>
      </c>
      <c r="I17" s="596">
        <f>G102+F102</f>
        <v>0</v>
      </c>
      <c r="J17" s="596">
        <f>H102+D102+C102</f>
        <v>0</v>
      </c>
      <c r="K17" s="596"/>
      <c r="L17" s="596"/>
      <c r="M17" s="596"/>
      <c r="N17" s="1051"/>
      <c r="O17" s="598">
        <f>C17*$C$22+E17*$E$22+H17*$H$22+I17*$I$22+J17*$J$22+D17*$D$22+F17*$F$22+G17*$G$22+K17*$K$22+L17*$L$22</f>
        <v>1328.4160382755215</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5657.1428571428578</v>
      </c>
      <c r="C20" s="582">
        <f>SUM(C17:C19)</f>
        <v>6576.3170211659472</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1328.4160382755215</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13040</v>
      </c>
      <c r="C28" s="796">
        <v>2300</v>
      </c>
      <c r="D28" s="653" t="s">
        <v>881</v>
      </c>
      <c r="E28" s="652" t="s">
        <v>882</v>
      </c>
      <c r="F28" s="652" t="s">
        <v>883</v>
      </c>
      <c r="G28" s="652" t="s">
        <v>884</v>
      </c>
      <c r="H28" s="652" t="s">
        <v>884</v>
      </c>
      <c r="I28" s="652" t="s">
        <v>882</v>
      </c>
      <c r="J28" s="795">
        <v>41001</v>
      </c>
      <c r="K28" s="795">
        <v>41153</v>
      </c>
      <c r="L28" s="652" t="s">
        <v>885</v>
      </c>
      <c r="M28" s="652">
        <v>70</v>
      </c>
      <c r="N28" s="652">
        <v>315.00000000000006</v>
      </c>
      <c r="O28" s="652">
        <v>1575.0000000000002</v>
      </c>
      <c r="P28" s="652">
        <v>2100.0000000000005</v>
      </c>
      <c r="Q28" s="652">
        <v>0</v>
      </c>
      <c r="R28" s="652">
        <v>0</v>
      </c>
      <c r="S28" s="652">
        <v>0</v>
      </c>
      <c r="T28" s="652">
        <v>0</v>
      </c>
      <c r="U28" s="652">
        <v>0</v>
      </c>
      <c r="V28" s="652">
        <v>0</v>
      </c>
      <c r="W28" s="652">
        <v>0</v>
      </c>
      <c r="X28" s="652">
        <v>1500</v>
      </c>
      <c r="Y28" s="652" t="s">
        <v>51</v>
      </c>
      <c r="Z28" s="654" t="s">
        <v>156</v>
      </c>
    </row>
    <row r="29" spans="1:26" s="606" customFormat="1" ht="25.5">
      <c r="A29" s="605"/>
      <c r="B29" s="796">
        <v>13040</v>
      </c>
      <c r="C29" s="796">
        <v>2300</v>
      </c>
      <c r="D29" s="653" t="s">
        <v>886</v>
      </c>
      <c r="E29" s="652" t="s">
        <v>887</v>
      </c>
      <c r="F29" s="652" t="s">
        <v>888</v>
      </c>
      <c r="G29" s="652" t="s">
        <v>889</v>
      </c>
      <c r="H29" s="652" t="s">
        <v>890</v>
      </c>
      <c r="I29" s="652" t="s">
        <v>887</v>
      </c>
      <c r="J29" s="795">
        <v>41324</v>
      </c>
      <c r="K29" s="795">
        <v>41324</v>
      </c>
      <c r="L29" s="652" t="s">
        <v>885</v>
      </c>
      <c r="M29" s="652">
        <v>635</v>
      </c>
      <c r="N29" s="652">
        <v>2857.5</v>
      </c>
      <c r="O29" s="652">
        <v>4082.1428571428573</v>
      </c>
      <c r="P29" s="652">
        <v>8164.2857142857147</v>
      </c>
      <c r="Q29" s="652">
        <v>0</v>
      </c>
      <c r="R29" s="652">
        <v>0</v>
      </c>
      <c r="S29" s="652">
        <v>0</v>
      </c>
      <c r="T29" s="652">
        <v>0</v>
      </c>
      <c r="U29" s="652">
        <v>0</v>
      </c>
      <c r="V29" s="652">
        <v>0</v>
      </c>
      <c r="W29" s="652">
        <v>0</v>
      </c>
      <c r="X29" s="652">
        <v>300</v>
      </c>
      <c r="Y29" s="652" t="s">
        <v>891</v>
      </c>
      <c r="Z29" s="654" t="s">
        <v>389</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705</v>
      </c>
      <c r="N58" s="610">
        <f>SUM(N28:N57)</f>
        <v>3172.5</v>
      </c>
      <c r="O58" s="610">
        <f t="shared" ref="O58:W58" si="2">SUM(O28:O57)</f>
        <v>5657.1428571428578</v>
      </c>
      <c r="P58" s="610">
        <f t="shared" si="2"/>
        <v>10264.285714285716</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635</v>
      </c>
      <c r="N59" s="610">
        <f t="shared" si="3"/>
        <v>2857.5</v>
      </c>
      <c r="O59" s="610">
        <f t="shared" si="3"/>
        <v>4082.1428571428573</v>
      </c>
      <c r="P59" s="610">
        <f t="shared" si="3"/>
        <v>8164.2857142857147</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70</v>
      </c>
      <c r="N60" s="610">
        <f ca="1">SUMIF($Z$28:AD57,"tertiair",N28:N57)</f>
        <v>315.00000000000006</v>
      </c>
      <c r="O60" s="610">
        <f ca="1">SUMIF($Z$28:AE57,"tertiair",O28:O57)</f>
        <v>1575.0000000000002</v>
      </c>
      <c r="P60" s="610">
        <f ca="1">SUMIF($Z$28:AF57,"tertiair",P28:P57)</f>
        <v>2100.0000000000005</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13040</v>
      </c>
      <c r="C64" s="796">
        <v>2300</v>
      </c>
      <c r="D64" s="655" t="s">
        <v>892</v>
      </c>
      <c r="E64" s="655" t="s">
        <v>893</v>
      </c>
      <c r="F64" s="655" t="s">
        <v>894</v>
      </c>
      <c r="G64" s="655" t="s">
        <v>895</v>
      </c>
      <c r="H64" s="655" t="s">
        <v>896</v>
      </c>
      <c r="I64" s="655" t="s">
        <v>897</v>
      </c>
      <c r="J64" s="795">
        <v>38768</v>
      </c>
      <c r="K64" s="795">
        <v>39052</v>
      </c>
      <c r="L64" s="655" t="s">
        <v>898</v>
      </c>
      <c r="M64" s="655">
        <v>298</v>
      </c>
      <c r="N64" s="655">
        <v>1341</v>
      </c>
      <c r="O64" s="655">
        <v>0</v>
      </c>
      <c r="P64" s="655">
        <v>0</v>
      </c>
      <c r="Q64" s="655">
        <v>3831.4285714285716</v>
      </c>
      <c r="R64" s="655">
        <v>0</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298</v>
      </c>
      <c r="N89" s="610">
        <f t="shared" ref="N89:W89" si="5">SUM(N64:N88)</f>
        <v>1341</v>
      </c>
      <c r="O89" s="610">
        <f t="shared" si="5"/>
        <v>0</v>
      </c>
      <c r="P89" s="610">
        <f t="shared" si="5"/>
        <v>0</v>
      </c>
      <c r="Q89" s="610">
        <f t="shared" si="5"/>
        <v>3831.4285714285716</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298</v>
      </c>
      <c r="N91" s="610">
        <f t="shared" si="7"/>
        <v>1341</v>
      </c>
      <c r="O91" s="610">
        <f t="shared" si="7"/>
        <v>0</v>
      </c>
      <c r="P91" s="610">
        <f t="shared" si="7"/>
        <v>0</v>
      </c>
      <c r="Q91" s="610">
        <f t="shared" si="7"/>
        <v>3831.4285714285716</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0.64069894430287577</v>
      </c>
      <c r="C98" s="635">
        <f>IF(ISERROR(N58/(O58+N58)),0,N58/(N58+O58))</f>
        <v>0.35930105569712406</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3687.9686931197666</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6576.3170211659472</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58774.040116489909</v>
      </c>
      <c r="C4" s="477">
        <f>huishoudens!C8</f>
        <v>0</v>
      </c>
      <c r="D4" s="477">
        <f>huishoudens!D8</f>
        <v>232776.92915841215</v>
      </c>
      <c r="E4" s="477">
        <f>huishoudens!E8</f>
        <v>3779.1175776386522</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26166.913115592077</v>
      </c>
      <c r="O4" s="477">
        <f>huishoudens!O8</f>
        <v>378.32666666666671</v>
      </c>
      <c r="P4" s="478">
        <f>huishoudens!P8</f>
        <v>991.4666666666667</v>
      </c>
      <c r="Q4" s="479">
        <f>SUM(B4:P4)</f>
        <v>322866.79330146615</v>
      </c>
    </row>
    <row r="5" spans="1:17">
      <c r="A5" s="476" t="s">
        <v>156</v>
      </c>
      <c r="B5" s="477">
        <f ca="1">tertiair!B16</f>
        <v>88589.792390573348</v>
      </c>
      <c r="C5" s="477">
        <f ca="1">tertiair!C16</f>
        <v>1575.0000000000002</v>
      </c>
      <c r="D5" s="477">
        <f ca="1">tertiair!D16</f>
        <v>124908.41700414071</v>
      </c>
      <c r="E5" s="477">
        <f>tertiair!E16</f>
        <v>1397.6460222226658</v>
      </c>
      <c r="F5" s="477">
        <f ca="1">tertiair!F16</f>
        <v>14835.785260119985</v>
      </c>
      <c r="G5" s="477">
        <f>tertiair!G16</f>
        <v>0</v>
      </c>
      <c r="H5" s="477">
        <f>tertiair!H16</f>
        <v>0</v>
      </c>
      <c r="I5" s="477">
        <f>tertiair!I16</f>
        <v>0</v>
      </c>
      <c r="J5" s="477">
        <f>tertiair!J16</f>
        <v>9.8150430154644863E-2</v>
      </c>
      <c r="K5" s="477">
        <f>tertiair!K16</f>
        <v>0</v>
      </c>
      <c r="L5" s="477">
        <f ca="1">tertiair!L16</f>
        <v>0</v>
      </c>
      <c r="M5" s="477">
        <f>tertiair!M16</f>
        <v>0</v>
      </c>
      <c r="N5" s="477">
        <f ca="1">tertiair!N16</f>
        <v>344.68532052635237</v>
      </c>
      <c r="O5" s="477">
        <f>tertiair!O16</f>
        <v>6.2533333333333339</v>
      </c>
      <c r="P5" s="478">
        <f>tertiair!P16</f>
        <v>152.53333333333333</v>
      </c>
      <c r="Q5" s="476">
        <f t="shared" ref="Q5:Q14" ca="1" si="0">SUM(B5:P5)</f>
        <v>231810.21081467986</v>
      </c>
    </row>
    <row r="6" spans="1:17">
      <c r="A6" s="476" t="s">
        <v>194</v>
      </c>
      <c r="B6" s="477">
        <f>'openbare verlichting'!B8</f>
        <v>2658.8180000000002</v>
      </c>
      <c r="C6" s="477"/>
      <c r="D6" s="477"/>
      <c r="E6" s="477"/>
      <c r="F6" s="477"/>
      <c r="G6" s="477"/>
      <c r="H6" s="477"/>
      <c r="I6" s="477"/>
      <c r="J6" s="477"/>
      <c r="K6" s="477"/>
      <c r="L6" s="477"/>
      <c r="M6" s="477"/>
      <c r="N6" s="477"/>
      <c r="O6" s="477"/>
      <c r="P6" s="478"/>
      <c r="Q6" s="476">
        <f t="shared" si="0"/>
        <v>2658.8180000000002</v>
      </c>
    </row>
    <row r="7" spans="1:17">
      <c r="A7" s="476" t="s">
        <v>112</v>
      </c>
      <c r="B7" s="477">
        <f>landbouw!B8</f>
        <v>1367.5681767155779</v>
      </c>
      <c r="C7" s="477">
        <f>landbouw!C8</f>
        <v>0</v>
      </c>
      <c r="D7" s="477">
        <f>landbouw!D8</f>
        <v>2436.0107027848262</v>
      </c>
      <c r="E7" s="477">
        <f>landbouw!E8</f>
        <v>40.197005749002209</v>
      </c>
      <c r="F7" s="477">
        <f>landbouw!F8</f>
        <v>5697.215124691641</v>
      </c>
      <c r="G7" s="477">
        <f>landbouw!G8</f>
        <v>0</v>
      </c>
      <c r="H7" s="477">
        <f>landbouw!H8</f>
        <v>0</v>
      </c>
      <c r="I7" s="477">
        <f>landbouw!I8</f>
        <v>0</v>
      </c>
      <c r="J7" s="477">
        <f>landbouw!J8</f>
        <v>198.13125994331025</v>
      </c>
      <c r="K7" s="477">
        <f>landbouw!K8</f>
        <v>0</v>
      </c>
      <c r="L7" s="477">
        <f>landbouw!L8</f>
        <v>0</v>
      </c>
      <c r="M7" s="477">
        <f>landbouw!M8</f>
        <v>0</v>
      </c>
      <c r="N7" s="477">
        <f>landbouw!N8</f>
        <v>0</v>
      </c>
      <c r="O7" s="477">
        <f>landbouw!O8</f>
        <v>0</v>
      </c>
      <c r="P7" s="478">
        <f>landbouw!P8</f>
        <v>0</v>
      </c>
      <c r="Q7" s="476">
        <f t="shared" si="0"/>
        <v>9739.1222698843576</v>
      </c>
    </row>
    <row r="8" spans="1:17">
      <c r="A8" s="476" t="s">
        <v>635</v>
      </c>
      <c r="B8" s="477">
        <f>industrie!B18</f>
        <v>183653.95829885313</v>
      </c>
      <c r="C8" s="477">
        <f>industrie!C18</f>
        <v>4082.1428571428573</v>
      </c>
      <c r="D8" s="477">
        <f>industrie!D18</f>
        <v>141010.50712827657</v>
      </c>
      <c r="E8" s="477">
        <f>industrie!E18</f>
        <v>8889.0890927761338</v>
      </c>
      <c r="F8" s="477">
        <f>industrie!F18</f>
        <v>31072.794253665947</v>
      </c>
      <c r="G8" s="477">
        <f>industrie!G18</f>
        <v>0</v>
      </c>
      <c r="H8" s="477">
        <f>industrie!H18</f>
        <v>0</v>
      </c>
      <c r="I8" s="477">
        <f>industrie!I18</f>
        <v>0</v>
      </c>
      <c r="J8" s="477">
        <f>industrie!J18</f>
        <v>372.56779451207638</v>
      </c>
      <c r="K8" s="477">
        <f>industrie!K18</f>
        <v>0</v>
      </c>
      <c r="L8" s="477">
        <f>industrie!L18</f>
        <v>0</v>
      </c>
      <c r="M8" s="477">
        <f>industrie!M18</f>
        <v>0</v>
      </c>
      <c r="N8" s="477">
        <f>industrie!N18</f>
        <v>107097.80840529971</v>
      </c>
      <c r="O8" s="477">
        <f>industrie!O18</f>
        <v>0</v>
      </c>
      <c r="P8" s="478">
        <f>industrie!P18</f>
        <v>0</v>
      </c>
      <c r="Q8" s="476">
        <f t="shared" si="0"/>
        <v>476178.86783052649</v>
      </c>
    </row>
    <row r="9" spans="1:17" s="482" customFormat="1">
      <c r="A9" s="480" t="s">
        <v>561</v>
      </c>
      <c r="B9" s="481">
        <f>transport!B14</f>
        <v>98.638978591649689</v>
      </c>
      <c r="C9" s="481">
        <f>transport!C14</f>
        <v>0</v>
      </c>
      <c r="D9" s="481">
        <f>transport!D14</f>
        <v>326.96626446734393</v>
      </c>
      <c r="E9" s="481">
        <f>transport!E14</f>
        <v>467.39858501092931</v>
      </c>
      <c r="F9" s="481">
        <f>transport!F14</f>
        <v>0</v>
      </c>
      <c r="G9" s="481">
        <f>transport!G14</f>
        <v>199708.38721854382</v>
      </c>
      <c r="H9" s="481">
        <f>transport!H14</f>
        <v>37396.162914894965</v>
      </c>
      <c r="I9" s="481">
        <f>transport!I14</f>
        <v>0</v>
      </c>
      <c r="J9" s="481">
        <f>transport!J14</f>
        <v>0</v>
      </c>
      <c r="K9" s="481">
        <f>transport!K14</f>
        <v>0</v>
      </c>
      <c r="L9" s="481">
        <f>transport!L14</f>
        <v>0</v>
      </c>
      <c r="M9" s="481">
        <f>transport!M14</f>
        <v>12771.305941258192</v>
      </c>
      <c r="N9" s="481">
        <f>transport!N14</f>
        <v>0</v>
      </c>
      <c r="O9" s="481">
        <f>transport!O14</f>
        <v>0</v>
      </c>
      <c r="P9" s="481">
        <f>transport!P14</f>
        <v>0</v>
      </c>
      <c r="Q9" s="480">
        <f>SUM(B9:P9)</f>
        <v>250768.85990276688</v>
      </c>
    </row>
    <row r="10" spans="1:17">
      <c r="A10" s="476" t="s">
        <v>551</v>
      </c>
      <c r="B10" s="477">
        <f>transport!B54</f>
        <v>0</v>
      </c>
      <c r="C10" s="477">
        <f>transport!C54</f>
        <v>0</v>
      </c>
      <c r="D10" s="477">
        <f>transport!D54</f>
        <v>0</v>
      </c>
      <c r="E10" s="477">
        <f>transport!E54</f>
        <v>0</v>
      </c>
      <c r="F10" s="477">
        <f>transport!F54</f>
        <v>0</v>
      </c>
      <c r="G10" s="477">
        <f>transport!G54</f>
        <v>4944.5220535639965</v>
      </c>
      <c r="H10" s="477">
        <f>transport!H54</f>
        <v>0</v>
      </c>
      <c r="I10" s="477">
        <f>transport!I54</f>
        <v>0</v>
      </c>
      <c r="J10" s="477">
        <f>transport!J54</f>
        <v>0</v>
      </c>
      <c r="K10" s="477">
        <f>transport!K54</f>
        <v>0</v>
      </c>
      <c r="L10" s="477">
        <f>transport!L54</f>
        <v>0</v>
      </c>
      <c r="M10" s="477">
        <f>transport!M54</f>
        <v>280.82702467214432</v>
      </c>
      <c r="N10" s="477">
        <f>transport!N54</f>
        <v>0</v>
      </c>
      <c r="O10" s="477">
        <f>transport!O54</f>
        <v>0</v>
      </c>
      <c r="P10" s="478">
        <f>transport!P54</f>
        <v>0</v>
      </c>
      <c r="Q10" s="476">
        <f t="shared" si="0"/>
        <v>5225.3490782361405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4240.7395149418899</v>
      </c>
      <c r="C14" s="484"/>
      <c r="D14" s="484">
        <f>'SEAP template'!E25</f>
        <v>8170.8921697199903</v>
      </c>
      <c r="E14" s="484"/>
      <c r="F14" s="484"/>
      <c r="G14" s="484"/>
      <c r="H14" s="484"/>
      <c r="I14" s="484"/>
      <c r="J14" s="484"/>
      <c r="K14" s="484"/>
      <c r="L14" s="484"/>
      <c r="M14" s="484"/>
      <c r="N14" s="484"/>
      <c r="O14" s="484"/>
      <c r="P14" s="485"/>
      <c r="Q14" s="476">
        <f t="shared" si="0"/>
        <v>12411.631684661879</v>
      </c>
    </row>
    <row r="15" spans="1:17" s="486" customFormat="1">
      <c r="A15" s="1039" t="s">
        <v>555</v>
      </c>
      <c r="B15" s="987">
        <f ca="1">SUM(B4:B14)</f>
        <v>339383.55547616549</v>
      </c>
      <c r="C15" s="987">
        <f t="shared" ref="C15:Q15" ca="1" si="1">SUM(C4:C14)</f>
        <v>5657.1428571428578</v>
      </c>
      <c r="D15" s="987">
        <f t="shared" ca="1" si="1"/>
        <v>509629.72242780152</v>
      </c>
      <c r="E15" s="987">
        <f t="shared" si="1"/>
        <v>14573.448283397383</v>
      </c>
      <c r="F15" s="987">
        <f t="shared" ca="1" si="1"/>
        <v>51605.794638477571</v>
      </c>
      <c r="G15" s="987">
        <f t="shared" si="1"/>
        <v>204652.90927210782</v>
      </c>
      <c r="H15" s="987">
        <f t="shared" si="1"/>
        <v>37396.162914894965</v>
      </c>
      <c r="I15" s="987">
        <f t="shared" si="1"/>
        <v>0</v>
      </c>
      <c r="J15" s="987">
        <f t="shared" si="1"/>
        <v>570.7972048855413</v>
      </c>
      <c r="K15" s="987">
        <f t="shared" si="1"/>
        <v>0</v>
      </c>
      <c r="L15" s="987">
        <f t="shared" ca="1" si="1"/>
        <v>0</v>
      </c>
      <c r="M15" s="987">
        <f t="shared" si="1"/>
        <v>13052.132965930336</v>
      </c>
      <c r="N15" s="987">
        <f t="shared" ca="1" si="1"/>
        <v>133609.40684141815</v>
      </c>
      <c r="O15" s="987">
        <f t="shared" si="1"/>
        <v>384.58000000000004</v>
      </c>
      <c r="P15" s="987">
        <f t="shared" si="1"/>
        <v>1144</v>
      </c>
      <c r="Q15" s="987">
        <f t="shared" ca="1" si="1"/>
        <v>1311659.6528822216</v>
      </c>
    </row>
    <row r="17" spans="1:17">
      <c r="A17" s="487" t="s">
        <v>556</v>
      </c>
      <c r="B17" s="786">
        <f ca="1">huishoudens!B10</f>
        <v>0.21050966187512601</v>
      </c>
      <c r="C17" s="786">
        <f ca="1">huishoudens!C10</f>
        <v>0.23482101686688509</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12372.503311957382</v>
      </c>
      <c r="C22" s="477">
        <f t="shared" ref="C22:C32" ca="1" si="3">C4*$C$17</f>
        <v>0</v>
      </c>
      <c r="D22" s="477">
        <f t="shared" ref="D22:D32" si="4">D4*$D$17</f>
        <v>47020.939689999257</v>
      </c>
      <c r="E22" s="477">
        <f t="shared" ref="E22:E32" si="5">E4*$E$17</f>
        <v>857.85969012397402</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60251.302692080608</v>
      </c>
    </row>
    <row r="23" spans="1:17">
      <c r="A23" s="476" t="s">
        <v>156</v>
      </c>
      <c r="B23" s="477">
        <f t="shared" ca="1" si="2"/>
        <v>18649.007241727206</v>
      </c>
      <c r="C23" s="477">
        <f t="shared" ca="1" si="3"/>
        <v>369.84310156534406</v>
      </c>
      <c r="D23" s="477">
        <f t="shared" ca="1" si="4"/>
        <v>25231.500234836425</v>
      </c>
      <c r="E23" s="477">
        <f t="shared" si="5"/>
        <v>317.26564704454518</v>
      </c>
      <c r="F23" s="477">
        <f t="shared" ca="1" si="6"/>
        <v>3961.1546644520363</v>
      </c>
      <c r="G23" s="477">
        <f t="shared" si="7"/>
        <v>0</v>
      </c>
      <c r="H23" s="477">
        <f t="shared" si="8"/>
        <v>0</v>
      </c>
      <c r="I23" s="477">
        <f t="shared" si="9"/>
        <v>0</v>
      </c>
      <c r="J23" s="477">
        <f t="shared" si="10"/>
        <v>3.474525227474428E-2</v>
      </c>
      <c r="K23" s="477">
        <f t="shared" si="11"/>
        <v>0</v>
      </c>
      <c r="L23" s="477">
        <f t="shared" ca="1" si="12"/>
        <v>0</v>
      </c>
      <c r="M23" s="477">
        <f t="shared" si="13"/>
        <v>0</v>
      </c>
      <c r="N23" s="477">
        <f t="shared" ca="1" si="14"/>
        <v>0</v>
      </c>
      <c r="O23" s="477">
        <f t="shared" si="15"/>
        <v>0</v>
      </c>
      <c r="P23" s="478">
        <f t="shared" si="16"/>
        <v>0</v>
      </c>
      <c r="Q23" s="476">
        <f t="shared" ref="Q23:Q32" ca="1" si="17">SUM(B23:P23)</f>
        <v>48528.805634877826</v>
      </c>
    </row>
    <row r="24" spans="1:17">
      <c r="A24" s="476" t="s">
        <v>194</v>
      </c>
      <c r="B24" s="477">
        <f t="shared" ca="1" si="2"/>
        <v>559.70687816749887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559.70687816749887</v>
      </c>
    </row>
    <row r="25" spans="1:17">
      <c r="A25" s="476" t="s">
        <v>112</v>
      </c>
      <c r="B25" s="477">
        <f t="shared" ca="1" si="2"/>
        <v>287.88631447157888</v>
      </c>
      <c r="C25" s="477">
        <f t="shared" ca="1" si="3"/>
        <v>0</v>
      </c>
      <c r="D25" s="477">
        <f t="shared" si="4"/>
        <v>492.0741619625349</v>
      </c>
      <c r="E25" s="477">
        <f t="shared" si="5"/>
        <v>9.1247203050235015</v>
      </c>
      <c r="F25" s="477">
        <f t="shared" si="6"/>
        <v>1521.1564382926683</v>
      </c>
      <c r="G25" s="477">
        <f t="shared" si="7"/>
        <v>0</v>
      </c>
      <c r="H25" s="477">
        <f t="shared" si="8"/>
        <v>0</v>
      </c>
      <c r="I25" s="477">
        <f t="shared" si="9"/>
        <v>0</v>
      </c>
      <c r="J25" s="477">
        <f t="shared" si="10"/>
        <v>70.138466019931826</v>
      </c>
      <c r="K25" s="477">
        <f t="shared" si="11"/>
        <v>0</v>
      </c>
      <c r="L25" s="477">
        <f t="shared" si="12"/>
        <v>0</v>
      </c>
      <c r="M25" s="477">
        <f t="shared" si="13"/>
        <v>0</v>
      </c>
      <c r="N25" s="477">
        <f t="shared" si="14"/>
        <v>0</v>
      </c>
      <c r="O25" s="477">
        <f t="shared" si="15"/>
        <v>0</v>
      </c>
      <c r="P25" s="478">
        <f t="shared" si="16"/>
        <v>0</v>
      </c>
      <c r="Q25" s="476">
        <f t="shared" ca="1" si="17"/>
        <v>2380.3801010517377</v>
      </c>
    </row>
    <row r="26" spans="1:17">
      <c r="A26" s="476" t="s">
        <v>635</v>
      </c>
      <c r="B26" s="477">
        <f t="shared" ca="1" si="2"/>
        <v>38660.932663520063</v>
      </c>
      <c r="C26" s="477">
        <f t="shared" ca="1" si="3"/>
        <v>958.57293671017737</v>
      </c>
      <c r="D26" s="477">
        <f t="shared" si="4"/>
        <v>28484.122439911869</v>
      </c>
      <c r="E26" s="477">
        <f t="shared" si="5"/>
        <v>2017.8232240601824</v>
      </c>
      <c r="F26" s="477">
        <f t="shared" si="6"/>
        <v>8296.4360657288089</v>
      </c>
      <c r="G26" s="477">
        <f t="shared" si="7"/>
        <v>0</v>
      </c>
      <c r="H26" s="477">
        <f t="shared" si="8"/>
        <v>0</v>
      </c>
      <c r="I26" s="477">
        <f t="shared" si="9"/>
        <v>0</v>
      </c>
      <c r="J26" s="477">
        <f t="shared" si="10"/>
        <v>131.88899925727503</v>
      </c>
      <c r="K26" s="477">
        <f t="shared" si="11"/>
        <v>0</v>
      </c>
      <c r="L26" s="477">
        <f t="shared" si="12"/>
        <v>0</v>
      </c>
      <c r="M26" s="477">
        <f t="shared" si="13"/>
        <v>0</v>
      </c>
      <c r="N26" s="477">
        <f t="shared" si="14"/>
        <v>0</v>
      </c>
      <c r="O26" s="477">
        <f t="shared" si="15"/>
        <v>0</v>
      </c>
      <c r="P26" s="478">
        <f t="shared" si="16"/>
        <v>0</v>
      </c>
      <c r="Q26" s="476">
        <f t="shared" ca="1" si="17"/>
        <v>78549.776329188375</v>
      </c>
    </row>
    <row r="27" spans="1:17" s="482" customFormat="1">
      <c r="A27" s="480" t="s">
        <v>561</v>
      </c>
      <c r="B27" s="780">
        <f t="shared" ca="1" si="2"/>
        <v>20.764458031035968</v>
      </c>
      <c r="C27" s="481">
        <f t="shared" ca="1" si="3"/>
        <v>0</v>
      </c>
      <c r="D27" s="481">
        <f t="shared" si="4"/>
        <v>66.047185422403473</v>
      </c>
      <c r="E27" s="481">
        <f t="shared" si="5"/>
        <v>106.09947879748096</v>
      </c>
      <c r="F27" s="481">
        <f t="shared" si="6"/>
        <v>0</v>
      </c>
      <c r="G27" s="481">
        <f t="shared" si="7"/>
        <v>53322.139387351206</v>
      </c>
      <c r="H27" s="481">
        <f t="shared" si="8"/>
        <v>9311.6445658088469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62826.695075410978</v>
      </c>
    </row>
    <row r="28" spans="1:17">
      <c r="A28" s="476" t="s">
        <v>551</v>
      </c>
      <c r="B28" s="477">
        <f t="shared" ca="1" si="2"/>
        <v>0</v>
      </c>
      <c r="C28" s="477">
        <f t="shared" ca="1" si="3"/>
        <v>0</v>
      </c>
      <c r="D28" s="477">
        <f t="shared" si="4"/>
        <v>0</v>
      </c>
      <c r="E28" s="477">
        <f t="shared" si="5"/>
        <v>0</v>
      </c>
      <c r="F28" s="477">
        <f t="shared" si="6"/>
        <v>0</v>
      </c>
      <c r="G28" s="477">
        <f t="shared" si="7"/>
        <v>1320.1873883015871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1320.1873883015871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892.71664139090319</v>
      </c>
      <c r="C32" s="477">
        <f t="shared" ca="1" si="3"/>
        <v>0</v>
      </c>
      <c r="D32" s="477">
        <f t="shared" si="4"/>
        <v>1650.5202182834382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2543.2368596743413</v>
      </c>
    </row>
    <row r="33" spans="1:17" s="486" customFormat="1">
      <c r="A33" s="1039" t="s">
        <v>555</v>
      </c>
      <c r="B33" s="987">
        <f ca="1">SUM(B22:B32)</f>
        <v>71443.517509265657</v>
      </c>
      <c r="C33" s="987">
        <f t="shared" ref="C33:Q33" ca="1" si="18">SUM(C22:C32)</f>
        <v>1328.4160382755215</v>
      </c>
      <c r="D33" s="987">
        <f t="shared" ca="1" si="18"/>
        <v>102945.20393041591</v>
      </c>
      <c r="E33" s="987">
        <f t="shared" si="18"/>
        <v>3308.1727603312061</v>
      </c>
      <c r="F33" s="987">
        <f t="shared" ca="1" si="18"/>
        <v>13778.747168473514</v>
      </c>
      <c r="G33" s="987">
        <f t="shared" si="18"/>
        <v>54642.326775652793</v>
      </c>
      <c r="H33" s="987">
        <f t="shared" si="18"/>
        <v>9311.6445658088469</v>
      </c>
      <c r="I33" s="987">
        <f t="shared" si="18"/>
        <v>0</v>
      </c>
      <c r="J33" s="987">
        <f t="shared" si="18"/>
        <v>202.0622105294816</v>
      </c>
      <c r="K33" s="987">
        <f t="shared" si="18"/>
        <v>0</v>
      </c>
      <c r="L33" s="987">
        <f t="shared" ca="1" si="18"/>
        <v>0</v>
      </c>
      <c r="M33" s="987">
        <f t="shared" si="18"/>
        <v>0</v>
      </c>
      <c r="N33" s="987">
        <f t="shared" ca="1" si="18"/>
        <v>0</v>
      </c>
      <c r="O33" s="987">
        <f t="shared" si="18"/>
        <v>0</v>
      </c>
      <c r="P33" s="987">
        <f t="shared" si="18"/>
        <v>0</v>
      </c>
      <c r="Q33" s="987">
        <f t="shared" ca="1" si="18"/>
        <v>256960.09095875293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14967.124103968808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3172.5</v>
      </c>
      <c r="D8" s="1056">
        <f>'SEAP template'!D76</f>
        <v>3687.9686931197666</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744.96967601019287</v>
      </c>
    </row>
    <row r="9" spans="1:16">
      <c r="A9" s="1059" t="s">
        <v>854</v>
      </c>
      <c r="B9" s="1056">
        <f>'SEAP template'!B77</f>
        <v>1341</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3831.4285714285716</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16308.124103968808</v>
      </c>
      <c r="C10" s="1060">
        <f>SUM(C4:C9)</f>
        <v>3172.5</v>
      </c>
      <c r="D10" s="1060">
        <f t="shared" ref="D10:H10" si="0">SUM(D8:D9)</f>
        <v>3687.9686931197666</v>
      </c>
      <c r="E10" s="1060">
        <f t="shared" si="0"/>
        <v>0</v>
      </c>
      <c r="F10" s="1060">
        <f t="shared" si="0"/>
        <v>0</v>
      </c>
      <c r="G10" s="1060">
        <f t="shared" si="0"/>
        <v>0</v>
      </c>
      <c r="H10" s="1060">
        <f t="shared" si="0"/>
        <v>0</v>
      </c>
      <c r="I10" s="1060">
        <f>SUM(I8:I9)</f>
        <v>0</v>
      </c>
      <c r="J10" s="1060">
        <f>SUM(J8:J9)</f>
        <v>3831.4285714285716</v>
      </c>
      <c r="K10" s="1060">
        <f t="shared" ref="K10:L10" si="1">SUM(K8:K9)</f>
        <v>0</v>
      </c>
      <c r="L10" s="1060">
        <f t="shared" si="1"/>
        <v>0</v>
      </c>
      <c r="M10" s="1060">
        <f>SUM(M8:M9)</f>
        <v>0</v>
      </c>
      <c r="N10" s="1060">
        <f>SUM(N8:N9)</f>
        <v>0</v>
      </c>
      <c r="O10" s="1060">
        <f>SUM(O8:O9)</f>
        <v>0</v>
      </c>
      <c r="P10" s="1060">
        <f>SUM(P8:P9)</f>
        <v>744.96967601019287</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0.21050966187512601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5657.1428571428578</v>
      </c>
      <c r="D17" s="1057">
        <f>'SEAP template'!D87</f>
        <v>6576.3170211659472</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1328.4160382755215</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5657.1428571428578</v>
      </c>
      <c r="D20" s="1060">
        <f t="shared" ref="D20:H20" si="2">SUM(D17:D19)</f>
        <v>6576.3170211659472</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1328.4160382755215</v>
      </c>
    </row>
    <row r="22" spans="1:16">
      <c r="A22" s="487" t="s">
        <v>862</v>
      </c>
      <c r="B22" s="786" t="s">
        <v>856</v>
      </c>
      <c r="C22" s="786">
        <f ca="1">'EF ele_warmte'!B22</f>
        <v>0.23482101686688509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0.21050966187512601</v>
      </c>
      <c r="C17" s="524">
        <f ca="1">'EF ele_warmte'!B22</f>
        <v>0.23482101686688509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2019-08-12T08:32:00Z</dcterms:modified>
</cp:coreProperties>
</file>