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<sst xmlns="http://schemas.openxmlformats.org/spreadsheetml/2006/main" count="2392" uniqueCount="887">
  <si>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</si>
  <si>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</si>
  <si>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</si>
  <si>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</si>
  <si>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</si>
  <si>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</si>
  <si>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</si>
  <si>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</si>
  <si>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</si>
  <si>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</si>
  <si>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</si>
  <si>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</si>
  <si>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</si>
  <si>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</si>
  <si>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</si>
  <si>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</si>
  <si>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</si>
  <si>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</si>
  <si>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</si>
  <si>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</si>
  <si>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</si>
  <si>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</si>
  <si>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</si>
  <si>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</si>
  <si>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</si>
  <si>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</si>
  <si>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</si>
  <si>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</si>
  <si>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</si>
  <si>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</si>
  <si>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</si>
  <si>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</si>
  <si>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</si>
  <si>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</si>
  <si>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</si>
  <si>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</si>
  <si>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</si>
  <si>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</si>
  <si>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</si>
  <si>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</si>
  <si>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</si>
  <si>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</si>
  <si>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</si>
  <si>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</si>
  <si>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</si>
  <si>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</si>
  <si>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</si>
  <si>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</si>
  <si>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</si>
  <si>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</si>
  <si>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</si>
  <si>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</si>
  <si>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</si>
  <si>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</si>
  <si>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</si>
  <si>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</si>
  <si>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</si>
  <si>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</si>
  <si>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</si>
  <si>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</si>
  <si>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</si>
  <si>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</si>
  <si>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</si>
  <si>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</si>
  <si>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</si>
  <si>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</si>
  <si>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</si>
  <si>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</si>
  <si>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</si>
  <si>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</si>
  <si>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</si>
  <si>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</si>
  <si>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</si>
  <si>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</si>
  <si>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</si>
  <si>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</si>
  <si>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</si>
  <si>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</si>
  <si>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</si>
  <si>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</si>
  <si>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</si>
  <si>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</si>
  <si>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</si>
  <si>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</si>
  <si>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</si>
  <si>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</si>
  <si>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</si>
  <si>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</si>
  <si>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</si>
  <si>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</si>
  <si>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</si>
  <si>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</si>
  <si>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</si>
  <si>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</si>
  <si>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</si>
  <si>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</si>
  <si>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</si>
  <si>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</si>
  <si>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</si>
  <si>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</si>
  <si>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</si>
  <si>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</si>
  <si>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</si>
  <si>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</si>
  <si>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</si>
  <si>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</si>
  <si>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</si>
  <si>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</si>
  <si>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</si>
  <si>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</si>
  <si>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</si>
  <si>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</si>
  <si>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</si>
  <si>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</si>
  <si>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</si>
  <si>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</si>
  <si>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</si>
  <si>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</si>
  <si>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</si>
  <si>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</si>
  <si>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</si>
  <si>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</si>
  <si>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</si>
  <si>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</si>
  <si>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</si>
  <si>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</si>
  <si>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</si>
  <si>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</si>
  <si>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</si>
  <si>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</si>
  <si>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</si>
  <si>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</si>
  <si>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</si>
  <si>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</si>
  <si>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</si>
  <si>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</si>
  <si>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</si>
  <si>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</si>
  <si>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</si>
  <si>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</si>
  <si>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</si>
  <si>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</si>
  <si>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</si>
  <si>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</si>
  <si>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</si>
  <si>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</si>
  <si>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</si>
  <si>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</si>
  <si>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</si>
  <si>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</si>
  <si>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</si>
  <si>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</si>
  <si>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</si>
  <si>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</si>
  <si>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</si>
  <si>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</si>
  <si>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</si>
  <si>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</si>
  <si>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</si>
  <si>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</si>
  <si>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</si>
  <si>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</si>
  <si>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</si>
  <si>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</si>
  <si>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</si>
  <si>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</si>
  <si>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</si>
  <si>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</si>
  <si>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</si>
  <si>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</si>
  <si>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</si>
  <si>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</si>
  <si>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</si>
  <si>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</si>
  <si>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</si>
  <si>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</si>
  <si>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</si>
  <si>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</si>
  <si>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</si>
  <si>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</si>
  <si>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</si>
  <si>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</si>
  <si>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</si>
  <si>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</si>
  <si>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</si>
  <si>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</si>
  <si>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</si>
  <si>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</si>
  <si>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</si>
  <si>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</si>
  <si>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</si>
  <si>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</si>
  <si>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</si>
  <si>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</si>
  <si>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</si>
  <si>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</si>
  <si>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</si>
  <si>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</si>
  <si>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</si>
  <si>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</si>
  <si>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</si>
  <si>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</si>
  <si>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</si>
  <si>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</si>
  <si>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</si>
  <si>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</si>
  <si>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</si>
  <si>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</si>
  <si>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</si>
  <si>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</si>
  <si>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</si>
  <si>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</si>
  <si>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</si>
  <si>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</si>
  <si>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</si>
  <si>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</si>
  <si>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</si>
  <si>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</si>
  <si>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</si>
  <si>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</si>
  <si>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</si>
  <si>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</si>
  <si>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</si>
  <si>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</si>
  <si>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</si>
  <si>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</si>
  <si>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</si>
  <si>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</si>
  <si>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</si>
  <si>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</si>
  <si>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</si>
  <si>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</si>
  <si>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</si>
  <si>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</si>
  <si>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</si>
  <si>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</si>
  <si>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</si>
  <si>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</si>
  <si>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</si>
  <si>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</si>
  <si>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</si>
  <si>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</si>
  <si>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</si>
  <si>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</si>
  <si>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</si>
  <si>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</si>
  <si>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</si>
  <si>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</si>
  <si>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</si>
  <si>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</si>
  <si>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</si>
  <si>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</si>
  <si>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</si>
  <si>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</si>
  <si>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</si>
  <si>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</si>
  <si>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</si>
  <si>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</si>
  <si>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</si>
  <si>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</si>
  <si>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</si>
  <si>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</si>
  <si>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</si>
  <si>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</si>
  <si>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</si>
  <si>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</si>
  <si>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</si>
  <si>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</si>
  <si>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</si>
  <si>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</si>
  <si>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</si>
  <si>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</si>
  <si>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</si>
  <si>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</si>
  <si>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</si>
  <si>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</si>
  <si>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</si>
  <si>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</si>
  <si>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</si>
  <si>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</si>
  <si>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</si>
  <si>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</si>
  <si>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</si>
  <si>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</si>
  <si>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</si>
  <si>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</si>
  <si>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</si>
  <si>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</si>
  <si>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</si>
  <si>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</si>
  <si>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</si>
  <si>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</si>
  <si>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</si>
  <si>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</si>
  <si>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</si>
  <si>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</si>
  <si>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</si>
  <si>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</si>
  <si>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</si>
  <si>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</si>
  <si>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</si>
  <si>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</si>
  <si>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</si>
  <si>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</si>
  <si>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</si>
  <si>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</si>
  <si>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</si>
  <si>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</si>
  <si>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</si>
  <si>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</si>
  <si>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</si>
  <si>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</si>
  <si>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</si>
  <si>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</si>
  <si>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</si>
  <si>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</si>
  <si>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</si>
  <si>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</si>
  <si>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</si>
  <si>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</si>
  <si>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</si>
  <si>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</si>
  <si>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</si>
  <si>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</si>
  <si>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</si>
  <si>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</si>
  <si>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</si>
  <si>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</si>
  <si>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</si>
  <si>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</si>
  <si>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</si>
  <si>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</si>
  <si>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</si>
  <si>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</si>
  <si>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</si>
  <si>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</si>
  <si>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</si>
  <si>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</si>
  <si>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</si>
  <si>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</si>
  <si>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</si>
  <si>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</si>
  <si>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</si>
  <si>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</si>
  <si>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</si>
  <si>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</si>
  <si>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</si>
  <si>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</si>
  <si>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</si>
  <si>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</si>
  <si>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</si>
  <si>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</si>
  <si>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</si>
  <si>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</si>
  <si>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</si>
  <si>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</si>
  <si>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</si>
  <si>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</si>
  <si>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</si>
  <si>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</si>
  <si>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</si>
  <si>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</si>
  <si>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</si>
  <si>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</si>
  <si>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</si>
  <si>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</si>
  <si>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</si>
  <si>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</si>
  <si>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</si>
  <si>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</si>
  <si>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</si>
  <si>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</si>
  <si>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</si>
  <si>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</si>
  <si>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</si>
  <si>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</si>
  <si>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</si>
  <si>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</si>
  <si>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</si>
  <si>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</si>
  <si>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</si>
  <si>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</si>
  <si>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</si>
  <si>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</si>
  <si>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</si>
  <si>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</si>
  <si>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</si>
  <si>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</si>
  <si>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</si>
  <si>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</si>
  <si>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</si>
  <si>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</si>
  <si>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</si>
  <si>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</si>
  <si>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</si>
  <si>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</si>
  <si>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</si>
  <si>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</si>
  <si>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</si>
  <si>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</si>
  <si>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</si>
  <si>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</si>
  <si>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</si>
  <si>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</si>
  <si>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</si>
  <si>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</si>
  <si>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</si>
  <si>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</si>
  <si>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</si>
  <si>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</si>
  <si>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</si>
  <si>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</si>
  <si>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</si>
  <si>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</si>
  <si>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</si>
  <si>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</si>
  <si>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</si>
  <si>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</si>
  <si>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</si>
  <si>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</si>
  <si>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</si>
  <si>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</si>
  <si>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</si>
  <si>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</si>
  <si>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</si>
  <si>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</si>
  <si>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</si>
  <si>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</si>
  <si>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</si>
  <si>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</si>
  <si>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</si>
  <si>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</si>
  <si>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</si>
  <si>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</si>
  <si>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</si>
  <si>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</si>
  <si>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</si>
  <si>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</si>
  <si>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</si>
  <si>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</si>
  <si>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</si>
  <si>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</si>
  <si>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</si>
  <si>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</si>
  <si>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</si>
  <si>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</si>
  <si>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</si>
  <si>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</si>
  <si>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</si>
  <si>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</si>
  <si>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</si>
  <si>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</si>
  <si>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</si>
  <si>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</si>
  <si>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</si>
  <si>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</si>
  <si>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</si>
  <si>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</si>
  <si>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</si>
  <si>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</si>
  <si>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</si>
  <si>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</si>
  <si>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</si>
  <si>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</si>
  <si>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</si>
  <si>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</si>
  <si>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</si>
  <si>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</si>
  <si>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</si>
  <si>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</si>
  <si>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</si>
  <si>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</si>
  <si>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</si>
  <si>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</si>
  <si>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</si>
  <si>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</si>
  <si>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</si>
  <si>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</si>
  <si>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</si>
  <si>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</si>
  <si>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</si>
  <si>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</si>
  <si>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</si>
  <si>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</si>
  <si>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</si>
  <si>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</si>
  <si>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</si>
  <si>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</si>
  <si>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</si>
  <si>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</si>
  <si>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</si>
  <si>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</si>
  <si>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</si>
  <si>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</si>
  <si>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</si>
  <si>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</si>
  <si>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</si>
  <si>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</si>
  <si>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</si>
  <si>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</si>
  <si>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</si>
  <si>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</si>
  <si>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</si>
  <si>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</si>
  <si>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</si>
  <si>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</si>
  <si>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</si>
  <si>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</si>
  <si>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</si>
  <si>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</si>
  <si>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</si>
  <si>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</si>
  <si>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</si>
  <si>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</si>
  <si>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</si>
  <si>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</si>
  <si>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</si>
  <si>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</si>
  <si>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</si>
  <si>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</si>
  <si>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</si>
  <si>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</si>
  <si>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</si>
  <si>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</si>
  <si>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</si>
  <si>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</si>
  <si>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</si>
  <si>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</si>
  <si>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</si>
  <si>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</si>
  <si>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</si>
  <si>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</si>
  <si>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</si>
  <si>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</si>
  <si>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</si>
  <si>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</si>
  <si>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</si>
  <si>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</si>
  <si>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</si>
  <si>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</si>
  <si>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</si>
  <si>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</si>
  <si>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</si>
  <si>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</si>
  <si>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</si>
  <si>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</si>
  <si>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</si>
  <si>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</si>
  <si>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</si>
  <si>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</si>
  <si>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</si>
  <si>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</si>
  <si>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</si>
  <si>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</si>
  <si>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</si>
  <si>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</si>
  <si>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</si>
  <si>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</si>
  <si>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</si>
  <si>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</si>
  <si>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</si>
  <si>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</si>
  <si>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</si>
  <si>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</si>
  <si>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</si>
  <si>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</si>
  <si>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</si>
  <si>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</si>
  <si>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</si>
  <si>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</si>
  <si>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</si>
  <si>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</si>
  <si>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</si>
  <si>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</si>
  <si>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</si>
  <si>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</si>
  <si>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</si>
  <si>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</si>
  <si>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</si>
  <si>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</si>
  <si>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</si>
  <si>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</si>
  <si>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</si>
  <si>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</si>
  <si>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</si>
  <si>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</si>
  <si>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</si>
  <si>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</si>
  <si>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</si>
  <si>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</si>
  <si>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</si>
  <si>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</si>
  <si>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</si>
  <si>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</si>
  <si>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</si>
  <si>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</si>
  <si>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</si>
  <si>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</si>
  <si>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</si>
  <si>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</si>
  <si>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</si>
  <si>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</si>
  <si>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</si>
  <si>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</si>
  <si>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</si>
  <si>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</si>
  <si>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</si>
  <si>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</si>
  <si>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</si>
  <si>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</si>
  <si>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</si>
  <si>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</si>
  <si>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</si>
  <si>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</si>
  <si>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</si>
  <si>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</si>
  <si>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</si>
  <si>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</si>
  <si>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</si>
  <si>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</si>
  <si>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</si>
  <si>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</si>
  <si>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</si>
  <si>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</si>
  <si>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</si>
  <si>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</si>
  <si>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</si>
  <si>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</si>
  <si>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</si>
  <si>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</si>
  <si>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</si>
  <si>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</si>
  <si>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</si>
  <si>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</si>
  <si>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</si>
  <si>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</si>
  <si>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</si>
  <si>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</si>
  <si>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</si>
  <si>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</si>
  <si>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</si>
  <si>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</si>
  <si>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</si>
  <si>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</si>
  <si>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</si>
  <si>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</si>
  <si>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</si>
  <si>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</si>
  <si>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</si>
  <si>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</si>
  <si>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</si>
  <si>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</si>
  <si>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</si>
  <si>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</si>
  <si>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</si>
  <si>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</si>
  <si>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</si>
  <si>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</si>
  <si>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</si>
  <si>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</si>
  <si>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</si>
  <si>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</si>
  <si>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</si>
  <si>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</si>
  <si>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</si>
  <si>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</si>
  <si>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</si>
  <si>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</si>
  <si>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</si>
  <si>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</si>
  <si>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</si>
  <si>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</si>
  <si>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</si>
  <si>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</si>
  <si>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</si>
  <si>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</si>
  <si>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</si>
  <si>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</si>
  <si>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</si>
  <si>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</si>
  <si>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</si>
  <si>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</si>
  <si>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</si>
  <si>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</si>
  <si>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</si>
  <si>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</si>
  <si>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</si>
  <si>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</si>
  <si>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</si>
  <si>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</si>
  <si>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</si>
  <si>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</si>
  <si>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</si>
  <si>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</si>
  <si>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</si>
  <si>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</si>
  <si>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</si>
  <si>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</si>
  <si>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</si>
  <si>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</si>
  <si>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</si>
  <si>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</si>
  <si>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</si>
  <si>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</si>
  <si>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</si>
  <si>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</si>
  <si>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</si>
  <si>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</si>
  <si>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</si>
  <si>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</si>
  <si>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</si>
  <si>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</si>
  <si>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</si>
  <si>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</si>
  <si>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</si>
  <si>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</si>
  <si>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</si>
  <si>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</si>
  <si>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</si>
  <si>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</si>
  <si>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</si>
  <si>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</si>
  <si>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</si>
  <si>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</si>
  <si>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</si>
  <si>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</si>
  <si>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</si>
  <si>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</si>
  <si>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</si>
  <si>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</si>
  <si>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</si>
  <si>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</si>
  <si>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</si>
  <si>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</si>
  <si>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</si>
  <si>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</si>
  <si>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</si>
  <si>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</si>
  <si>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</si>
  <si>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</si>
  <si>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</si>
  <si>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</si>
  <si>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</si>
  <si>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</si>
  <si>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</si>
  <si>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</si>
  <si>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</si>
  <si>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</si>
  <si>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</si>
  <si>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</si>
  <si>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</si>
  <si>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</si>
  <si>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</si>
  <si>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</si>
  <si>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</si>
  <si>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</si>
  <si>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</si>
  <si>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</si>
  <si>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</si>
  <si>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</si>
  <si>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</si>
  <si>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</si>
  <si>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</si>
  <si>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</si>
  <si>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</si>
  <si>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</si>
  <si>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</si>
  <si>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</si>
  <si>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</si>
  <si>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</si>
  <si>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</si>
  <si>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</si>
  <si>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</si>
  <si>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</si>
  <si>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</si>
  <si>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</si>
  <si>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</si>
  <si>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</si>
  <si>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</si>
  <si>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</si>
  <si>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</si>
  <si>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</si>
  <si>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</si>
  <si>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</si>
  <si>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</si>
  <si>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</si>
  <si>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</si>
  <si>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</si>
  <si>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</si>
  <si>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</si>
  <si>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</si>
  <si>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</si>
  <si>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</si>
  <si>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</si>
  <si>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</si>
  <si>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</si>
  <si>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</si>
  <si>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</si>
  <si>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</si>
  <si>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</si>
  <si>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</si>
  <si>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</si>
  <si>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</si>
  <si>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</si>
  <si>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</si>
  <si>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</si>
  <si>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</si>
  <si>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</si>
  <si>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</si>
  <si>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</si>
  <si>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</si>
  <si>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</si>
  <si>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</si>
  <si>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</si>
  <si>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</si>
  <si>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</si>
  <si>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</si>
  <si>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</si>
  <si>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</si>
  <si>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</si>
  <si>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</si>
  <si>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</si>
  <si>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</si>
  <si>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</si>
  <si>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</si>
  <si>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</si>
  <si>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</si>
  <si>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</si>
  <si>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</si>
  <si>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</si>
  <si>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</si>
  <si>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</si>
  <si>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</si>
  <si>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</si>
  <si>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</si>
  <si>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</si>
  <si>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</si>
  <si>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</si>
  <si>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</si>
  <si>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</si>
  <si>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</si>
  <si>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</si>
  <si>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</si>
  <si>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</si>
  <si>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</si>
  <si>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</si>
  <si>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</si>
  <si>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</si>
  <si>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</si>
  <si>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</si>
  <si>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</si>
  <si>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</si>
  <si>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</si>
  <si>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</si>
  <si>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</si>
  <si>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</si>
  <si>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</si>
  <si>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</si>
  <si>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</si>
  <si>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</si>
  <si>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</si>
  <si>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</si>
  <si>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</si>
  <si>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</si>
  <si>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</si>
  <si>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</si>
  <si>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</si>
  <si>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</si>
  <si>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</si>
  <si>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</si>
  <si>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</si>
  <si>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</si>
  <si>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</si>
  <si>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13025</t>
  </si>
  <si>
    <t>MOL</t>
  </si>
  <si>
    <t>Eandis (januari 2018); Infrax (juni 2018)</t>
  </si>
  <si>
    <t>MOW (september 2017)</t>
  </si>
  <si>
    <t>referentietaak LNE (2017); Jaarverslag De Lijn (2016)</t>
  </si>
  <si>
    <t>VEA (april 2018)</t>
  </si>
  <si>
    <t>VEA (januari 2017)</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</si>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</sst>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308313.14228414634</c:v>
                </c:pt>
                <c:pt idx="1">
                  <c:v>204593.77787716343</c:v>
                </c:pt>
                <c:pt idx="2">
                  <c:v>1439.8689999999999</c:v>
                </c:pt>
                <c:pt idx="3">
                  <c:v>6884.4522718533653</c:v>
                </c:pt>
                <c:pt idx="4">
                  <c:v>131665.13917907735</c:v>
                </c:pt>
                <c:pt idx="5">
                  <c:v>257026.42897599086</c:v>
                </c:pt>
                <c:pt idx="6">
                  <c:v>2834.3828526989269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308313.14228414634</c:v>
                </c:pt>
                <c:pt idx="1">
                  <c:v>204593.77787716343</c:v>
                </c:pt>
                <c:pt idx="2">
                  <c:v>1439.8689999999999</c:v>
                </c:pt>
                <c:pt idx="3">
                  <c:v>6884.4522718533653</c:v>
                </c:pt>
                <c:pt idx="4">
                  <c:v>131665.13917907735</c:v>
                </c:pt>
                <c:pt idx="5">
                  <c:v>257026.42897599086</c:v>
                </c:pt>
                <c:pt idx="6">
                  <c:v>2834.3828526989269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56875.159556427359</c:v>
                </c:pt>
                <c:pt idx="2">
                  <c:v>41025.710448176091</c:v>
                </c:pt>
                <c:pt idx="3">
                  <c:v>297.45162936289552</c:v>
                </c:pt>
                <c:pt idx="4">
                  <c:v>1763.8728545202512</c:v>
                </c:pt>
                <c:pt idx="5">
                  <c:v>24960.94805530478</c:v>
                </c:pt>
                <c:pt idx="6">
                  <c:v>64381.281329626217</c:v>
                </c:pt>
                <c:pt idx="7">
                  <c:v>716.10842447573145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56875.159556427359</c:v>
                </c:pt>
                <c:pt idx="2">
                  <c:v>41025.710448176091</c:v>
                </c:pt>
                <c:pt idx="3">
                  <c:v>297.45162936289552</c:v>
                </c:pt>
                <c:pt idx="4">
                  <c:v>1763.8728545202512</c:v>
                </c:pt>
                <c:pt idx="5">
                  <c:v>24960.94805530478</c:v>
                </c:pt>
                <c:pt idx="6">
                  <c:v>64381.281329626217</c:v>
                </c:pt>
                <c:pt idx="7">
                  <c:v>716.10842447573145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13025</v>
      </c>
      <c r="B6" s="415"/>
      <c r="C6" s="416"/>
    </row>
    <row r="7" spans="1:7" s="413" customFormat="1" ht="15.75" customHeight="1">
      <c r="A7" s="417" t="str">
        <f>txtMunicipality</f>
        <v>MOL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0.20658242476426364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0.20658242476426364</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15356</v>
      </c>
      <c r="C9" s="342">
        <v>15911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3198.77</v>
      </c>
    </row>
    <row r="15" spans="1:6">
      <c r="A15" s="348" t="s">
        <v>184</v>
      </c>
      <c r="B15" s="334">
        <v>127</v>
      </c>
    </row>
    <row r="16" spans="1:6">
      <c r="A16" s="348" t="s">
        <v>6</v>
      </c>
      <c r="B16" s="334">
        <v>959</v>
      </c>
    </row>
    <row r="17" spans="1:6">
      <c r="A17" s="348" t="s">
        <v>7</v>
      </c>
      <c r="B17" s="334">
        <v>238</v>
      </c>
    </row>
    <row r="18" spans="1:6">
      <c r="A18" s="348" t="s">
        <v>8</v>
      </c>
      <c r="B18" s="334">
        <v>901</v>
      </c>
    </row>
    <row r="19" spans="1:6">
      <c r="A19" s="348" t="s">
        <v>9</v>
      </c>
      <c r="B19" s="334">
        <v>865</v>
      </c>
    </row>
    <row r="20" spans="1:6">
      <c r="A20" s="348" t="s">
        <v>10</v>
      </c>
      <c r="B20" s="334">
        <v>223</v>
      </c>
    </row>
    <row r="21" spans="1:6">
      <c r="A21" s="348" t="s">
        <v>11</v>
      </c>
      <c r="B21" s="334">
        <v>699</v>
      </c>
    </row>
    <row r="22" spans="1:6">
      <c r="A22" s="348" t="s">
        <v>12</v>
      </c>
      <c r="B22" s="334">
        <v>2745</v>
      </c>
    </row>
    <row r="23" spans="1:6">
      <c r="A23" s="348" t="s">
        <v>13</v>
      </c>
      <c r="B23" s="334">
        <v>23</v>
      </c>
    </row>
    <row r="24" spans="1:6">
      <c r="A24" s="348" t="s">
        <v>14</v>
      </c>
      <c r="B24" s="334">
        <v>0</v>
      </c>
    </row>
    <row r="25" spans="1:6">
      <c r="A25" s="348" t="s">
        <v>15</v>
      </c>
      <c r="B25" s="334">
        <v>227</v>
      </c>
    </row>
    <row r="26" spans="1:6">
      <c r="A26" s="348" t="s">
        <v>16</v>
      </c>
      <c r="B26" s="334">
        <v>1340</v>
      </c>
    </row>
    <row r="27" spans="1:6">
      <c r="A27" s="348" t="s">
        <v>17</v>
      </c>
      <c r="B27" s="334">
        <v>0</v>
      </c>
    </row>
    <row r="28" spans="1:6" s="356" customFormat="1">
      <c r="A28" s="355" t="s">
        <v>18</v>
      </c>
      <c r="B28" s="355">
        <v>82860</v>
      </c>
    </row>
    <row r="29" spans="1:6">
      <c r="A29" s="355" t="s">
        <v>744</v>
      </c>
      <c r="B29" s="355">
        <v>121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19768</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496841.479768369</v>
      </c>
      <c r="E38" s="334">
        <v>4</v>
      </c>
      <c r="F38" s="334">
        <v>36886.5493259707</v>
      </c>
    </row>
    <row r="39" spans="1:6">
      <c r="A39" s="348" t="s">
        <v>30</v>
      </c>
      <c r="B39" s="348" t="s">
        <v>31</v>
      </c>
      <c r="C39" s="334">
        <v>9475</v>
      </c>
      <c r="D39" s="334">
        <v>152423542.35489801</v>
      </c>
      <c r="E39" s="334">
        <v>15094</v>
      </c>
      <c r="F39" s="334">
        <v>51644264.736820497</v>
      </c>
    </row>
    <row r="40" spans="1:6">
      <c r="A40" s="348" t="s">
        <v>30</v>
      </c>
      <c r="B40" s="348" t="s">
        <v>29</v>
      </c>
      <c r="C40" s="334">
        <v>0</v>
      </c>
      <c r="D40" s="334">
        <v>0</v>
      </c>
      <c r="E40" s="334">
        <v>1</v>
      </c>
      <c r="F40" s="334">
        <v>13969</v>
      </c>
    </row>
    <row r="41" spans="1:6">
      <c r="A41" s="348" t="s">
        <v>32</v>
      </c>
      <c r="B41" s="348" t="s">
        <v>33</v>
      </c>
      <c r="C41" s="334">
        <v>163</v>
      </c>
      <c r="D41" s="334">
        <v>10132355.274524899</v>
      </c>
      <c r="E41" s="334">
        <v>392</v>
      </c>
      <c r="F41" s="334">
        <v>8622133.9978755005</v>
      </c>
    </row>
    <row r="42" spans="1:6">
      <c r="A42" s="348" t="s">
        <v>32</v>
      </c>
      <c r="B42" s="348" t="s">
        <v>34</v>
      </c>
      <c r="C42" s="334">
        <v>0</v>
      </c>
      <c r="D42" s="334">
        <v>0</v>
      </c>
      <c r="E42" s="334">
        <v>3</v>
      </c>
      <c r="F42" s="334">
        <v>8472.3476570649</v>
      </c>
    </row>
    <row r="43" spans="1:6">
      <c r="A43" s="348" t="s">
        <v>32</v>
      </c>
      <c r="B43" s="348" t="s">
        <v>35</v>
      </c>
      <c r="C43" s="334">
        <v>0</v>
      </c>
      <c r="D43" s="334">
        <v>0</v>
      </c>
      <c r="E43" s="334">
        <v>0</v>
      </c>
      <c r="F43" s="334">
        <v>0</v>
      </c>
    </row>
    <row r="44" spans="1:6">
      <c r="A44" s="348" t="s">
        <v>32</v>
      </c>
      <c r="B44" s="348" t="s">
        <v>36</v>
      </c>
      <c r="C44" s="334">
        <v>0</v>
      </c>
      <c r="D44" s="334">
        <v>0</v>
      </c>
      <c r="E44" s="334">
        <v>32</v>
      </c>
      <c r="F44" s="334">
        <v>948702.89584307605</v>
      </c>
    </row>
    <row r="45" spans="1:6">
      <c r="A45" s="348" t="s">
        <v>32</v>
      </c>
      <c r="B45" s="348" t="s">
        <v>37</v>
      </c>
      <c r="C45" s="334">
        <v>0</v>
      </c>
      <c r="D45" s="334">
        <v>0</v>
      </c>
      <c r="E45" s="334">
        <v>3</v>
      </c>
      <c r="F45" s="334">
        <v>109458.387278512</v>
      </c>
    </row>
    <row r="46" spans="1:6">
      <c r="A46" s="348" t="s">
        <v>32</v>
      </c>
      <c r="B46" s="348" t="s">
        <v>38</v>
      </c>
      <c r="C46" s="334">
        <v>0</v>
      </c>
      <c r="D46" s="334">
        <v>0</v>
      </c>
      <c r="E46" s="334">
        <v>0</v>
      </c>
      <c r="F46" s="334">
        <v>0</v>
      </c>
    </row>
    <row r="47" spans="1:6">
      <c r="A47" s="348" t="s">
        <v>32</v>
      </c>
      <c r="B47" s="348" t="s">
        <v>39</v>
      </c>
      <c r="C47" s="334">
        <v>3</v>
      </c>
      <c r="D47" s="334">
        <v>99602.239906857707</v>
      </c>
      <c r="E47" s="334">
        <v>4</v>
      </c>
      <c r="F47" s="334">
        <v>105869.320046673</v>
      </c>
    </row>
    <row r="48" spans="1:6">
      <c r="A48" s="348" t="s">
        <v>32</v>
      </c>
      <c r="B48" s="348" t="s">
        <v>29</v>
      </c>
      <c r="C48" s="334">
        <v>37</v>
      </c>
      <c r="D48" s="334">
        <v>10493471.8313151</v>
      </c>
      <c r="E48" s="334">
        <v>45</v>
      </c>
      <c r="F48" s="334">
        <v>59857765.255805597</v>
      </c>
    </row>
    <row r="49" spans="1:6">
      <c r="A49" s="348" t="s">
        <v>32</v>
      </c>
      <c r="B49" s="348" t="s">
        <v>40</v>
      </c>
      <c r="C49" s="334">
        <v>0</v>
      </c>
      <c r="D49" s="334">
        <v>0</v>
      </c>
      <c r="E49" s="334">
        <v>0</v>
      </c>
      <c r="F49" s="334">
        <v>0</v>
      </c>
    </row>
    <row r="50" spans="1:6">
      <c r="A50" s="348" t="s">
        <v>32</v>
      </c>
      <c r="B50" s="348" t="s">
        <v>41</v>
      </c>
      <c r="C50" s="334">
        <v>9</v>
      </c>
      <c r="D50" s="334">
        <v>699232.95498776005</v>
      </c>
      <c r="E50" s="334">
        <v>27</v>
      </c>
      <c r="F50" s="334">
        <v>969800.08980684704</v>
      </c>
    </row>
    <row r="51" spans="1:6">
      <c r="A51" s="348" t="s">
        <v>42</v>
      </c>
      <c r="B51" s="348" t="s">
        <v>43</v>
      </c>
      <c r="C51" s="334">
        <v>8</v>
      </c>
      <c r="D51" s="334">
        <v>193250.69037764001</v>
      </c>
      <c r="E51" s="334">
        <v>49</v>
      </c>
      <c r="F51" s="334">
        <v>1029949.49284254</v>
      </c>
    </row>
    <row r="52" spans="1:6">
      <c r="A52" s="348" t="s">
        <v>42</v>
      </c>
      <c r="B52" s="348" t="s">
        <v>29</v>
      </c>
      <c r="C52" s="334">
        <v>2</v>
      </c>
      <c r="D52" s="334">
        <v>27597.133734831201</v>
      </c>
      <c r="E52" s="334">
        <v>3</v>
      </c>
      <c r="F52" s="334">
        <v>221918.52227048099</v>
      </c>
    </row>
    <row r="53" spans="1:6">
      <c r="A53" s="348" t="s">
        <v>44</v>
      </c>
      <c r="B53" s="348" t="s">
        <v>45</v>
      </c>
      <c r="C53" s="334">
        <v>241</v>
      </c>
      <c r="D53" s="334">
        <v>6518496.2763843397</v>
      </c>
      <c r="E53" s="334">
        <v>606</v>
      </c>
      <c r="F53" s="334">
        <v>3952372.1416078499</v>
      </c>
    </row>
    <row r="54" spans="1:6">
      <c r="A54" s="348" t="s">
        <v>46</v>
      </c>
      <c r="B54" s="348" t="s">
        <v>47</v>
      </c>
      <c r="C54" s="334">
        <v>0</v>
      </c>
      <c r="D54" s="334">
        <v>0</v>
      </c>
      <c r="E54" s="334">
        <v>1</v>
      </c>
      <c r="F54" s="334">
        <v>1439869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4691459.5347536895</v>
      </c>
      <c r="E57" s="334">
        <v>177</v>
      </c>
      <c r="F57" s="334">
        <v>7928972.0757356295</v>
      </c>
    </row>
    <row r="58" spans="1:6">
      <c r="A58" s="348" t="s">
        <v>49</v>
      </c>
      <c r="B58" s="348" t="s">
        <v>51</v>
      </c>
      <c r="C58" s="334">
        <v>88</v>
      </c>
      <c r="D58" s="334">
        <v>7915211.0765027301</v>
      </c>
      <c r="E58" s="334">
        <v>115</v>
      </c>
      <c r="F58" s="334">
        <v>1484152.57148323</v>
      </c>
    </row>
    <row r="59" spans="1:6">
      <c r="A59" s="348" t="s">
        <v>49</v>
      </c>
      <c r="B59" s="348" t="s">
        <v>52</v>
      </c>
      <c r="C59" s="334">
        <v>238</v>
      </c>
      <c r="D59" s="334">
        <v>9276379.7952503208</v>
      </c>
      <c r="E59" s="334">
        <v>493</v>
      </c>
      <c r="F59" s="334">
        <v>14065343.093779</v>
      </c>
    </row>
    <row r="60" spans="1:6">
      <c r="A60" s="348" t="s">
        <v>49</v>
      </c>
      <c r="B60" s="348" t="s">
        <v>53</v>
      </c>
      <c r="C60" s="334">
        <v>135</v>
      </c>
      <c r="D60" s="334">
        <v>25324900.726597499</v>
      </c>
      <c r="E60" s="334">
        <v>211</v>
      </c>
      <c r="F60" s="334">
        <v>10043487.9292762</v>
      </c>
    </row>
    <row r="61" spans="1:6">
      <c r="A61" s="348" t="s">
        <v>49</v>
      </c>
      <c r="B61" s="348" t="s">
        <v>54</v>
      </c>
      <c r="C61" s="334">
        <v>237</v>
      </c>
      <c r="D61" s="334">
        <v>57866945.084330499</v>
      </c>
      <c r="E61" s="334">
        <v>514</v>
      </c>
      <c r="F61" s="334">
        <v>34370676.491026498</v>
      </c>
    </row>
    <row r="62" spans="1:6">
      <c r="A62" s="348" t="s">
        <v>49</v>
      </c>
      <c r="B62" s="348" t="s">
        <v>55</v>
      </c>
      <c r="C62" s="334">
        <v>22</v>
      </c>
      <c r="D62" s="334">
        <v>7659935.6727731898</v>
      </c>
      <c r="E62" s="334">
        <v>29</v>
      </c>
      <c r="F62" s="334">
        <v>2198621.0184917599</v>
      </c>
    </row>
    <row r="63" spans="1:6">
      <c r="A63" s="348" t="s">
        <v>49</v>
      </c>
      <c r="B63" s="348" t="s">
        <v>29</v>
      </c>
      <c r="C63" s="334">
        <v>107</v>
      </c>
      <c r="D63" s="334">
        <v>4592395.0143101001</v>
      </c>
      <c r="E63" s="334">
        <v>93</v>
      </c>
      <c r="F63" s="334">
        <v>7252391.29282346</v>
      </c>
    </row>
    <row r="64" spans="1:6">
      <c r="A64" s="348" t="s">
        <v>56</v>
      </c>
      <c r="B64" s="348" t="s">
        <v>57</v>
      </c>
      <c r="C64" s="334">
        <v>0</v>
      </c>
      <c r="D64" s="334">
        <v>0</v>
      </c>
      <c r="E64" s="334">
        <v>0</v>
      </c>
      <c r="F64" s="334">
        <v>0</v>
      </c>
    </row>
    <row r="65" spans="1:6">
      <c r="A65" s="348" t="s">
        <v>56</v>
      </c>
      <c r="B65" s="348" t="s">
        <v>29</v>
      </c>
      <c r="C65" s="334">
        <v>4</v>
      </c>
      <c r="D65" s="334">
        <v>252859.16158794399</v>
      </c>
      <c r="E65" s="334">
        <v>1</v>
      </c>
      <c r="F65" s="334">
        <v>5307.5079047017998</v>
      </c>
    </row>
    <row r="66" spans="1:6">
      <c r="A66" s="348" t="s">
        <v>56</v>
      </c>
      <c r="B66" s="348" t="s">
        <v>58</v>
      </c>
      <c r="C66" s="334">
        <v>0</v>
      </c>
      <c r="D66" s="334">
        <v>0</v>
      </c>
      <c r="E66" s="334">
        <v>11</v>
      </c>
      <c r="F66" s="334">
        <v>305331.77420284197</v>
      </c>
    </row>
    <row r="67" spans="1:6">
      <c r="A67" s="355" t="s">
        <v>56</v>
      </c>
      <c r="B67" s="355" t="s">
        <v>59</v>
      </c>
      <c r="C67" s="334">
        <v>0</v>
      </c>
      <c r="D67" s="334">
        <v>0</v>
      </c>
      <c r="E67" s="334">
        <v>0</v>
      </c>
      <c r="F67" s="334">
        <v>0</v>
      </c>
    </row>
    <row r="68" spans="1:6">
      <c r="A68" s="341" t="s">
        <v>56</v>
      </c>
      <c r="B68" s="341" t="s">
        <v>60</v>
      </c>
      <c r="C68" s="334">
        <v>4</v>
      </c>
      <c r="D68" s="334">
        <v>62536.327947901802</v>
      </c>
      <c r="E68" s="334">
        <v>26</v>
      </c>
      <c r="F68" s="334">
        <v>866665.84853206901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159421585</v>
      </c>
      <c r="E73" s="475">
        <v>172941718.63202736</v>
      </c>
    </row>
    <row r="74" spans="1:6">
      <c r="A74" s="348" t="s">
        <v>64</v>
      </c>
      <c r="B74" s="348" t="s">
        <v>657</v>
      </c>
      <c r="C74" s="1295" t="s">
        <v>659</v>
      </c>
      <c r="D74" s="475">
        <v>11490325</v>
      </c>
      <c r="E74" s="475">
        <v>12915224.903421948</v>
      </c>
    </row>
    <row r="75" spans="1:6">
      <c r="A75" s="348" t="s">
        <v>65</v>
      </c>
      <c r="B75" s="348" t="s">
        <v>656</v>
      </c>
      <c r="C75" s="1295" t="s">
        <v>660</v>
      </c>
      <c r="D75" s="475">
        <v>48382752</v>
      </c>
      <c r="E75" s="475">
        <v>51825003.669350237</v>
      </c>
    </row>
    <row r="76" spans="1:6">
      <c r="A76" s="348" t="s">
        <v>65</v>
      </c>
      <c r="B76" s="348" t="s">
        <v>657</v>
      </c>
      <c r="C76" s="1295" t="s">
        <v>661</v>
      </c>
      <c r="D76" s="475">
        <v>2034994</v>
      </c>
      <c r="E76" s="475">
        <v>2233638.7403290225</v>
      </c>
    </row>
    <row r="77" spans="1:6">
      <c r="A77" s="348" t="s">
        <v>66</v>
      </c>
      <c r="B77" s="348" t="s">
        <v>656</v>
      </c>
      <c r="C77" s="1295" t="s">
        <v>662</v>
      </c>
      <c r="D77" s="475">
        <v>46620953</v>
      </c>
      <c r="E77" s="475">
        <v>48024109.338041253</v>
      </c>
    </row>
    <row r="78" spans="1:6">
      <c r="A78" s="341" t="s">
        <v>66</v>
      </c>
      <c r="B78" s="341" t="s">
        <v>657</v>
      </c>
      <c r="C78" s="341" t="s">
        <v>663</v>
      </c>
      <c r="D78" s="1296">
        <v>18865193</v>
      </c>
      <c r="E78" s="1296">
        <v>18962122.456205957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768732</v>
      </c>
      <c r="C83" s="475">
        <v>772115.52555431786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10653.329814398616</v>
      </c>
    </row>
    <row r="92" spans="1:6">
      <c r="A92" s="341" t="s">
        <v>69</v>
      </c>
      <c r="B92" s="342">
        <v>3508.1826622473341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2</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87</v>
      </c>
      <c r="C123" s="334">
        <v>80</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450</v>
      </c>
    </row>
    <row r="130" spans="1:6">
      <c r="A130" s="348" t="s">
        <v>295</v>
      </c>
      <c r="B130" s="334">
        <v>4</v>
      </c>
    </row>
    <row r="131" spans="1:6">
      <c r="A131" s="348" t="s">
        <v>296</v>
      </c>
      <c r="B131" s="334">
        <v>0</v>
      </c>
    </row>
    <row r="132" spans="1:6">
      <c r="A132" s="341" t="s">
        <v>297</v>
      </c>
      <c r="B132" s="342">
        <v>71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217046.36122698575</v>
      </c>
      <c r="C3" s="43" t="s">
        <v>170</v>
      </c>
      <c r="D3" s="43"/>
      <c r="E3" s="154"/>
      <c r="F3" s="43"/>
      <c r="G3" s="43"/>
      <c r="H3" s="43"/>
      <c r="I3" s="43"/>
      <c r="J3" s="43"/>
      <c r="K3" s="96"/>
    </row>
    <row r="4" spans="1:11">
      <c r="A4" s="383" t="s">
        <v>171</v>
      </c>
      <c r="B4" s="49">
        <f>IF(ISERROR('SEAP template'!B78+'SEAP template'!C78),0,'SEAP template'!B78+'SEAP template'!C78)</f>
        <v>14186.26247664595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0.20658242476426364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1439.8689999999999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1439.8689999999999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0.20658242476426364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297.45162936289552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51658.233736820497</v>
      </c>
      <c r="C5" s="17">
        <f>IF(ISERROR('Eigen informatie GS &amp; warmtenet'!B57),0,'Eigen informatie GS &amp; warmtenet'!B57)</f>
        <v>0</v>
      </c>
      <c r="D5" s="30">
        <f>(SUM(HH_hh_gas_kWh,HH_rest_gas_kWh)/1000)*0.902</f>
        <v>137486.035204118</v>
      </c>
      <c r="E5" s="17">
        <f>B46*B57</f>
        <v>6379.4465914628381</v>
      </c>
      <c r="F5" s="17">
        <f>B51*B62</f>
        <v>55364.689811498502</v>
      </c>
      <c r="G5" s="18"/>
      <c r="H5" s="17"/>
      <c r="I5" s="17"/>
      <c r="J5" s="17">
        <f>B50*B61+C50*C61</f>
        <v>0</v>
      </c>
      <c r="K5" s="17"/>
      <c r="L5" s="17"/>
      <c r="M5" s="17"/>
      <c r="N5" s="17">
        <f>B48*B59+C48*C59</f>
        <v>42901.860459181233</v>
      </c>
      <c r="O5" s="17">
        <f>B69*B70*B71</f>
        <v>837.94666666666683</v>
      </c>
      <c r="P5" s="17">
        <f>B77*B78*B79/1000-B77*B78*B79/1000/B80</f>
        <v>3031.6</v>
      </c>
    </row>
    <row r="6" spans="1:16">
      <c r="A6" s="16" t="s">
        <v>621</v>
      </c>
      <c r="B6" s="788">
        <f>kWh_PV_kleiner_dan_10kW</f>
        <v>10653.329814398616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62311.563551219115</v>
      </c>
      <c r="C8" s="21">
        <f>C5</f>
        <v>0</v>
      </c>
      <c r="D8" s="21">
        <f>D5</f>
        <v>137486.035204118</v>
      </c>
      <c r="E8" s="21">
        <f>E5</f>
        <v>6379.4465914628381</v>
      </c>
      <c r="F8" s="21">
        <f>F5</f>
        <v>55364.689811498502</v>
      </c>
      <c r="G8" s="21"/>
      <c r="H8" s="21"/>
      <c r="I8" s="21"/>
      <c r="J8" s="21">
        <f>J5</f>
        <v>0</v>
      </c>
      <c r="K8" s="21"/>
      <c r="L8" s="21">
        <f>L5</f>
        <v>0</v>
      </c>
      <c r="M8" s="21">
        <f>M5</f>
        <v>0</v>
      </c>
      <c r="N8" s="21">
        <f>N5</f>
        <v>42901.860459181233</v>
      </c>
      <c r="O8" s="21">
        <f>O5</f>
        <v>837.94666666666683</v>
      </c>
      <c r="P8" s="21">
        <f>P5</f>
        <v>3031.6</v>
      </c>
    </row>
    <row r="9" spans="1:16">
      <c r="B9" s="19"/>
      <c r="C9" s="19"/>
      <c r="D9" s="258"/>
      <c r="E9" s="19"/>
      <c r="F9" s="19"/>
      <c r="G9" s="19"/>
      <c r="H9" s="19"/>
      <c r="I9" s="19"/>
      <c r="J9" s="19"/>
      <c r="K9" s="19"/>
      <c r="L9" s="19"/>
      <c r="M9" s="19"/>
      <c r="N9" s="19"/>
      <c r="O9" s="19"/>
      <c r="P9" s="19"/>
    </row>
    <row r="10" spans="1:16">
      <c r="A10" s="24" t="s">
        <v>214</v>
      </c>
      <c r="B10" s="25">
        <f ca="1">'EF ele_warmte'!B12</f>
        <v>0.20658242476426364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12872.473889263356</v>
      </c>
      <c r="C12" s="23">
        <f ca="1">C10*C8</f>
        <v>0</v>
      </c>
      <c r="D12" s="23">
        <f>D8*D10</f>
        <v>27772.179111231839</v>
      </c>
      <c r="E12" s="23">
        <f>E10*E8</f>
        <v>1448.1343762620643</v>
      </c>
      <c r="F12" s="23">
        <f>F10*F8</f>
        <v>14782.372179670101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793</v>
      </c>
      <c r="B28" s="37">
        <f>aantalHuishoudens2011</f>
        <v>15356</v>
      </c>
      <c r="C28" s="36"/>
      <c r="D28" s="228"/>
    </row>
    <row r="29" spans="1:7" s="15" customFormat="1">
      <c r="A29" s="230" t="s">
        <v>794</v>
      </c>
      <c r="B29" s="37">
        <f>SUM(HH_hh_gas_aantal,HH_rest_gas_aantal)</f>
        <v>9475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9475</v>
      </c>
      <c r="C32" s="167">
        <f>IF(ISERROR(B32/SUM($B$32,$B$34,$B$35,$B$36,$B$38,$B$39)*100),0,B32/SUM($B$32,$B$34,$B$35,$B$36,$B$38,$B$39)*100)</f>
        <v>62.347831808909646</v>
      </c>
      <c r="D32" s="233"/>
      <c r="G32" s="15"/>
    </row>
    <row r="33" spans="1:7">
      <c r="A33" s="171" t="s">
        <v>72</v>
      </c>
      <c r="B33" s="34" t="s">
        <v>111</v>
      </c>
      <c r="C33" s="167"/>
      <c r="D33" s="233"/>
      <c r="G33" s="15"/>
    </row>
    <row r="34" spans="1:7">
      <c r="A34" s="171" t="s">
        <v>73</v>
      </c>
      <c r="B34" s="33">
        <f>IF((($B$28-$B$32-$B$39-$B$77-$B$38)*C20/100)&lt;0,0,($B$28-$B$32-$B$39-$B$77-$B$38)*C20/100)</f>
        <v>301.29484304932743</v>
      </c>
      <c r="C34" s="167">
        <f>IF(ISERROR(B34/SUM($B$32,$B$34,$B$35,$B$36,$B$38,$B$39)*100),0,B34/SUM($B$32,$B$34,$B$35,$B$36,$B$38,$B$39)*100)</f>
        <v>1.9825942162882637</v>
      </c>
      <c r="D34" s="233"/>
      <c r="G34" s="15"/>
    </row>
    <row r="35" spans="1:7">
      <c r="A35" s="171" t="s">
        <v>74</v>
      </c>
      <c r="B35" s="33">
        <f>IF((($B$28-$B$32-$B$39-$B$77-$B$38)*C21/100)&lt;0,0,($B$28-$B$32-$B$39-$B$77-$B$38)*C21/100)</f>
        <v>2687.5500000000006</v>
      </c>
      <c r="C35" s="167">
        <f>IF(ISERROR(B35/SUM($B$32,$B$34,$B$35,$B$36,$B$38,$B$39)*100),0,B35/SUM($B$32,$B$34,$B$35,$B$36,$B$38,$B$39)*100)</f>
        <v>17.684740409291312</v>
      </c>
      <c r="D35" s="233"/>
      <c r="G35" s="15"/>
    </row>
    <row r="36" spans="1:7">
      <c r="A36" s="171" t="s">
        <v>75</v>
      </c>
      <c r="B36" s="33">
        <f>IF((($B$28-$B$32-$B$39-$B$77-$B$38)*C22/100)&lt;0,0,($B$28-$B$32-$B$39-$B$77-$B$38)*C22/100)</f>
        <v>594.55515695067265</v>
      </c>
      <c r="C36" s="167">
        <f>IF(ISERROR(B36/SUM($B$32,$B$34,$B$35,$B$36,$B$38,$B$39)*100),0,B36/SUM($B$32,$B$34,$B$35,$B$36,$B$38,$B$39)*100)</f>
        <v>3.912319253475506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2138.5999999999995</v>
      </c>
      <c r="C39" s="167">
        <f>IF(ISERROR(B39/SUM($B$32,$B$34,$B$35,$B$36,$B$38,$B$39)*100),0,B39/SUM($B$32,$B$34,$B$35,$B$36,$B$38,$B$39)*100)</f>
        <v>14.072514312035267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9475</v>
      </c>
      <c r="C44" s="34" t="s">
        <v>111</v>
      </c>
      <c r="D44" s="174"/>
    </row>
    <row r="45" spans="1:7">
      <c r="A45" s="171" t="s">
        <v>72</v>
      </c>
      <c r="B45" s="33" t="str">
        <f t="shared" si="0"/>
        <v>-</v>
      </c>
      <c r="C45" s="34" t="s">
        <v>111</v>
      </c>
      <c r="D45" s="174"/>
    </row>
    <row r="46" spans="1:7">
      <c r="A46" s="171" t="s">
        <v>73</v>
      </c>
      <c r="B46" s="33">
        <f t="shared" si="0"/>
        <v>301.29484304932743</v>
      </c>
      <c r="C46" s="34" t="s">
        <v>111</v>
      </c>
      <c r="D46" s="174"/>
    </row>
    <row r="47" spans="1:7">
      <c r="A47" s="171" t="s">
        <v>74</v>
      </c>
      <c r="B47" s="33">
        <f t="shared" si="0"/>
        <v>2687.5500000000006</v>
      </c>
      <c r="C47" s="34" t="s">
        <v>111</v>
      </c>
      <c r="D47" s="174"/>
    </row>
    <row r="48" spans="1:7">
      <c r="A48" s="171" t="s">
        <v>75</v>
      </c>
      <c r="B48" s="33">
        <f t="shared" si="0"/>
        <v>594.55515695067265</v>
      </c>
      <c r="C48" s="33">
        <f>B48*10</f>
        <v>5945.5515695067261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2138.5999999999995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77343.644472615779</v>
      </c>
      <c r="C5" s="17">
        <f>IF(ISERROR('Eigen informatie GS &amp; warmtenet'!B58),0,'Eigen informatie GS &amp; warmtenet'!B58)</f>
        <v>0</v>
      </c>
      <c r="D5" s="30">
        <f>SUM(D6:D12)</f>
        <v>105829.15866787525</v>
      </c>
      <c r="E5" s="17">
        <f>SUM(E6:E12)</f>
        <v>786.96244884474879</v>
      </c>
      <c r="F5" s="17">
        <f>SUM(F6:F12)</f>
        <v>13080.314655709089</v>
      </c>
      <c r="G5" s="18"/>
      <c r="H5" s="17"/>
      <c r="I5" s="17"/>
      <c r="J5" s="17">
        <f>SUM(J6:J12)</f>
        <v>0.18966875159255939</v>
      </c>
      <c r="K5" s="17"/>
      <c r="L5" s="17"/>
      <c r="M5" s="17"/>
      <c r="N5" s="17">
        <f>SUM(N6:N12)</f>
        <v>7519.7284395574925</v>
      </c>
      <c r="O5" s="17">
        <f>B38*B39*B40</f>
        <v>6.2533333333333339</v>
      </c>
      <c r="P5" s="17">
        <f>B46*B47*B48/1000-B46*B47*B48/1000/B49</f>
        <v>38.133333333333333</v>
      </c>
      <c r="R5" s="32"/>
    </row>
    <row r="6" spans="1:18">
      <c r="A6" s="32" t="s">
        <v>54</v>
      </c>
      <c r="B6" s="37">
        <f>B26</f>
        <v>34370.676491026497</v>
      </c>
      <c r="C6" s="33"/>
      <c r="D6" s="37">
        <f>IF(ISERROR(TER_kantoor_gas_kWh/1000),0,TER_kantoor_gas_kWh/1000)*0.902</f>
        <v>52195.984466066111</v>
      </c>
      <c r="E6" s="33">
        <f>$C$26*'E Balans VL '!I12/100/3.6*1000000</f>
        <v>0.21542396873784389</v>
      </c>
      <c r="F6" s="33">
        <f>$C$26*('E Balans VL '!L12+'E Balans VL '!N12)/100/3.6*1000000</f>
        <v>5164.9522683023697</v>
      </c>
      <c r="G6" s="34"/>
      <c r="H6" s="33"/>
      <c r="I6" s="33"/>
      <c r="J6" s="33">
        <f>$C$26*('E Balans VL '!D12+'E Balans VL '!E12)/100/3.6*1000000</f>
        <v>0</v>
      </c>
      <c r="K6" s="33"/>
      <c r="L6" s="33"/>
      <c r="M6" s="33"/>
      <c r="N6" s="33">
        <f>$C$26*'E Balans VL '!Y12/100/3.6*1000000</f>
        <v>32.870456051619456</v>
      </c>
      <c r="O6" s="33"/>
      <c r="P6" s="33"/>
      <c r="R6" s="32"/>
    </row>
    <row r="7" spans="1:18">
      <c r="A7" s="32" t="s">
        <v>53</v>
      </c>
      <c r="B7" s="37">
        <f t="shared" ref="B7:B12" si="0">B27</f>
        <v>10043.4879292762</v>
      </c>
      <c r="C7" s="33"/>
      <c r="D7" s="37">
        <f>IF(ISERROR(TER_horeca_gas_kWh/1000),0,TER_horeca_gas_kWh/1000)*0.902</f>
        <v>22843.060455390943</v>
      </c>
      <c r="E7" s="33">
        <f>$C$27*'E Balans VL '!I9/100/3.6*1000000</f>
        <v>143.82107422150452</v>
      </c>
      <c r="F7" s="33">
        <f>$C$27*('E Balans VL '!L9+'E Balans VL '!N9)/100/3.6*1000000</f>
        <v>1271.836818839851</v>
      </c>
      <c r="G7" s="34"/>
      <c r="H7" s="33"/>
      <c r="I7" s="33"/>
      <c r="J7" s="33">
        <f>$C$27*('E Balans VL '!D9+'E Balans VL '!E9)/100/3.6*1000000</f>
        <v>0</v>
      </c>
      <c r="K7" s="33"/>
      <c r="L7" s="33"/>
      <c r="M7" s="33"/>
      <c r="N7" s="33">
        <f>$C$27*'E Balans VL '!Y9/100/3.6*1000000</f>
        <v>2.8872813397663943</v>
      </c>
      <c r="O7" s="33"/>
      <c r="P7" s="33"/>
      <c r="R7" s="32"/>
    </row>
    <row r="8" spans="1:18">
      <c r="A8" s="6" t="s">
        <v>52</v>
      </c>
      <c r="B8" s="37">
        <f t="shared" si="0"/>
        <v>14065.343093779</v>
      </c>
      <c r="C8" s="33"/>
      <c r="D8" s="37">
        <f>IF(ISERROR(TER_handel_gas_kWh/1000),0,TER_handel_gas_kWh/1000)*0.902</f>
        <v>8367.2945753157892</v>
      </c>
      <c r="E8" s="33">
        <f>$C$28*'E Balans VL '!I13/100/3.6*1000000</f>
        <v>510.14825955096057</v>
      </c>
      <c r="F8" s="33">
        <f>$C$28*('E Balans VL '!L13+'E Balans VL '!N13)/100/3.6*1000000</f>
        <v>2709.1275005154826</v>
      </c>
      <c r="G8" s="34"/>
      <c r="H8" s="33"/>
      <c r="I8" s="33"/>
      <c r="J8" s="33">
        <f>$C$28*('E Balans VL '!D13+'E Balans VL '!E13)/100/3.6*1000000</f>
        <v>0</v>
      </c>
      <c r="K8" s="33"/>
      <c r="L8" s="33"/>
      <c r="M8" s="33"/>
      <c r="N8" s="33">
        <f>$C$28*'E Balans VL '!Y13/100/3.6*1000000</f>
        <v>19.483736475995538</v>
      </c>
      <c r="O8" s="33"/>
      <c r="P8" s="33"/>
      <c r="R8" s="32"/>
    </row>
    <row r="9" spans="1:18">
      <c r="A9" s="32" t="s">
        <v>51</v>
      </c>
      <c r="B9" s="37">
        <f t="shared" si="0"/>
        <v>1484.1525714832301</v>
      </c>
      <c r="C9" s="33"/>
      <c r="D9" s="37">
        <f>IF(ISERROR(TER_gezond_gas_kWh/1000),0,TER_gezond_gas_kWh/1000)*0.902</f>
        <v>7139.5203910054624</v>
      </c>
      <c r="E9" s="33">
        <f>$C$29*'E Balans VL '!I10/100/3.6*1000000</f>
        <v>9.2922604334211151E-2</v>
      </c>
      <c r="F9" s="33">
        <f>$C$29*('E Balans VL '!L10+'E Balans VL '!N10)/100/3.6*1000000</f>
        <v>220.47538330806483</v>
      </c>
      <c r="G9" s="34"/>
      <c r="H9" s="33"/>
      <c r="I9" s="33"/>
      <c r="J9" s="33">
        <f>$C$29*('E Balans VL '!D10+'E Balans VL '!E10)/100/3.6*1000000</f>
        <v>0</v>
      </c>
      <c r="K9" s="33"/>
      <c r="L9" s="33"/>
      <c r="M9" s="33"/>
      <c r="N9" s="33">
        <f>$C$29*'E Balans VL '!Y10/100/3.6*1000000</f>
        <v>22.957015184184268</v>
      </c>
      <c r="O9" s="33"/>
      <c r="P9" s="33"/>
      <c r="R9" s="32"/>
    </row>
    <row r="10" spans="1:18">
      <c r="A10" s="32" t="s">
        <v>50</v>
      </c>
      <c r="B10" s="37">
        <f t="shared" si="0"/>
        <v>7928.9720757356299</v>
      </c>
      <c r="C10" s="33"/>
      <c r="D10" s="37">
        <f>IF(ISERROR(TER_ander_gas_kWh/1000),0,TER_ander_gas_kWh/1000)*0.902</f>
        <v>4231.6965003478281</v>
      </c>
      <c r="E10" s="33">
        <f>$C$30*'E Balans VL '!I14/100/3.6*1000000</f>
        <v>9.4510513806898491</v>
      </c>
      <c r="F10" s="33">
        <f>$C$30*('E Balans VL '!L14+'E Balans VL '!N14)/100/3.6*1000000</f>
        <v>2074.5715894249092</v>
      </c>
      <c r="G10" s="34"/>
      <c r="H10" s="33"/>
      <c r="I10" s="33"/>
      <c r="J10" s="33">
        <f>$C$30*('E Balans VL '!D14+'E Balans VL '!E14)/100/3.6*1000000</f>
        <v>0.172106903051883</v>
      </c>
      <c r="K10" s="33"/>
      <c r="L10" s="33"/>
      <c r="M10" s="33"/>
      <c r="N10" s="33">
        <f>$C$30*'E Balans VL '!Y14/100/3.6*1000000</f>
        <v>6733.0890674990178</v>
      </c>
      <c r="O10" s="33"/>
      <c r="P10" s="33"/>
      <c r="R10" s="32"/>
    </row>
    <row r="11" spans="1:18">
      <c r="A11" s="32" t="s">
        <v>55</v>
      </c>
      <c r="B11" s="37">
        <f t="shared" si="0"/>
        <v>2198.62101849176</v>
      </c>
      <c r="C11" s="33"/>
      <c r="D11" s="37">
        <f>IF(ISERROR(TER_onderwijs_gas_kWh/1000),0,TER_onderwijs_gas_kWh/1000)*0.902</f>
        <v>6909.2619768414179</v>
      </c>
      <c r="E11" s="33">
        <f>$C$31*'E Balans VL '!I11/100/3.6*1000000</f>
        <v>33.173649953157252</v>
      </c>
      <c r="F11" s="33">
        <f>$C$31*('E Balans VL '!L11+'E Balans VL '!N11)/100/3.6*1000000</f>
        <v>385.23352645545452</v>
      </c>
      <c r="G11" s="34"/>
      <c r="H11" s="33"/>
      <c r="I11" s="33"/>
      <c r="J11" s="33">
        <f>$C$31*('E Balans VL '!D11+'E Balans VL '!E11)/100/3.6*1000000</f>
        <v>0</v>
      </c>
      <c r="K11" s="33"/>
      <c r="L11" s="33"/>
      <c r="M11" s="33"/>
      <c r="N11" s="33">
        <f>$C$31*'E Balans VL '!Y11/100/3.6*1000000</f>
        <v>6.1870866915708538</v>
      </c>
      <c r="O11" s="33"/>
      <c r="P11" s="33"/>
      <c r="R11" s="32"/>
    </row>
    <row r="12" spans="1:18">
      <c r="A12" s="32" t="s">
        <v>260</v>
      </c>
      <c r="B12" s="37">
        <f t="shared" si="0"/>
        <v>7252.3912928234604</v>
      </c>
      <c r="C12" s="33"/>
      <c r="D12" s="37">
        <f>IF(ISERROR(TER_rest_gas_kWh/1000),0,TER_rest_gas_kWh/1000)*0.902</f>
        <v>4142.3403029077108</v>
      </c>
      <c r="E12" s="33">
        <f>$C$32*'E Balans VL '!I8/100/3.6*1000000</f>
        <v>90.060067165364572</v>
      </c>
      <c r="F12" s="33">
        <f>$C$32*('E Balans VL '!L8+'E Balans VL '!N8)/100/3.6*1000000</f>
        <v>1254.1175688629578</v>
      </c>
      <c r="G12" s="34"/>
      <c r="H12" s="33"/>
      <c r="I12" s="33"/>
      <c r="J12" s="33">
        <f>$C$32*('E Balans VL '!D8+'E Balans VL '!E8)/100/3.6*1000000</f>
        <v>1.756184854067638E-2</v>
      </c>
      <c r="K12" s="33"/>
      <c r="L12" s="33"/>
      <c r="M12" s="33"/>
      <c r="N12" s="33">
        <f>$C$32*'E Balans VL '!Y8/100/3.6*1000000</f>
        <v>702.25379631533815</v>
      </c>
      <c r="O12" s="33"/>
      <c r="P12" s="33"/>
      <c r="R12" s="32"/>
    </row>
    <row r="13" spans="1:18">
      <c r="A13" s="16" t="s">
        <v>488</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77368.394472615779</v>
      </c>
      <c r="C16" s="21">
        <f t="shared" ca="1" si="1"/>
        <v>35.357142857142861</v>
      </c>
      <c r="D16" s="21">
        <f t="shared" ca="1" si="1"/>
        <v>105758.44438216096</v>
      </c>
      <c r="E16" s="21">
        <f t="shared" si="1"/>
        <v>786.96244884474879</v>
      </c>
      <c r="F16" s="21">
        <f t="shared" ca="1" si="1"/>
        <v>13080.314655709089</v>
      </c>
      <c r="G16" s="21">
        <f t="shared" si="1"/>
        <v>0</v>
      </c>
      <c r="H16" s="21">
        <f t="shared" si="1"/>
        <v>0</v>
      </c>
      <c r="I16" s="21">
        <f t="shared" si="1"/>
        <v>0</v>
      </c>
      <c r="J16" s="21">
        <f t="shared" si="1"/>
        <v>0.18966875159255939</v>
      </c>
      <c r="K16" s="21">
        <f t="shared" si="1"/>
        <v>0</v>
      </c>
      <c r="L16" s="21">
        <f t="shared" ca="1" si="1"/>
        <v>0</v>
      </c>
      <c r="M16" s="21">
        <f t="shared" si="1"/>
        <v>0</v>
      </c>
      <c r="N16" s="21">
        <f t="shared" ca="1" si="1"/>
        <v>7519.7284395574925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0.20658242476426364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15982.95053027102</v>
      </c>
      <c r="C20" s="23">
        <f t="shared" ref="C20:P20" ca="1" si="2">C16*C18</f>
        <v>8.4025210084033635</v>
      </c>
      <c r="D20" s="23">
        <f t="shared" ca="1" si="2"/>
        <v>21363.205765196515</v>
      </c>
      <c r="E20" s="23">
        <f t="shared" si="2"/>
        <v>178.64047588775799</v>
      </c>
      <c r="F20" s="23">
        <f t="shared" ca="1" si="2"/>
        <v>3492.4440130743269</v>
      </c>
      <c r="G20" s="23">
        <f t="shared" si="2"/>
        <v>0</v>
      </c>
      <c r="H20" s="23">
        <f t="shared" si="2"/>
        <v>0</v>
      </c>
      <c r="I20" s="23">
        <f t="shared" si="2"/>
        <v>0</v>
      </c>
      <c r="J20" s="23">
        <f t="shared" si="2"/>
        <v>6.7142738063766014E-2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34370.676491026497</v>
      </c>
      <c r="C26" s="39">
        <f>IF(ISERROR(B26*3.6/1000000/'E Balans VL '!Z12*100),0,B26*3.6/1000000/'E Balans VL '!Z12*100)</f>
        <v>0.72654165347073374</v>
      </c>
      <c r="D26" s="237" t="s">
        <v>754</v>
      </c>
      <c r="F26" s="6"/>
    </row>
    <row r="27" spans="1:18">
      <c r="A27" s="231" t="s">
        <v>53</v>
      </c>
      <c r="B27" s="33">
        <f>IF(ISERROR(TER_horeca_ele_kWh/1000),0,TER_horeca_ele_kWh/1000)</f>
        <v>10043.4879292762</v>
      </c>
      <c r="C27" s="39">
        <f>IF(ISERROR(B27*3.6/1000000/'E Balans VL '!Z9*100),0,B27*3.6/1000000/'E Balans VL '!Z9*100)</f>
        <v>0.7917244100657842</v>
      </c>
      <c r="D27" s="237" t="s">
        <v>754</v>
      </c>
      <c r="F27" s="6"/>
    </row>
    <row r="28" spans="1:18">
      <c r="A28" s="171" t="s">
        <v>52</v>
      </c>
      <c r="B28" s="33">
        <f>IF(ISERROR(TER_handel_ele_kWh/1000),0,TER_handel_ele_kWh/1000)</f>
        <v>14065.343093779</v>
      </c>
      <c r="C28" s="39">
        <f>IF(ISERROR(B28*3.6/1000000/'E Balans VL '!Z13*100),0,B28*3.6/1000000/'E Balans VL '!Z13*100)</f>
        <v>0.40823308693575361</v>
      </c>
      <c r="D28" s="237" t="s">
        <v>754</v>
      </c>
      <c r="F28" s="6"/>
    </row>
    <row r="29" spans="1:18">
      <c r="A29" s="231" t="s">
        <v>51</v>
      </c>
      <c r="B29" s="33">
        <f>IF(ISERROR(TER_gezond_ele_kWh/1000),0,TER_gezond_ele_kWh/1000)</f>
        <v>1484.1525714832301</v>
      </c>
      <c r="C29" s="39">
        <f>IF(ISERROR(B29*3.6/1000000/'E Balans VL '!Z10*100),0,B29*3.6/1000000/'E Balans VL '!Z10*100)</f>
        <v>0.15630563620569299</v>
      </c>
      <c r="D29" s="237" t="s">
        <v>754</v>
      </c>
      <c r="F29" s="6"/>
    </row>
    <row r="30" spans="1:18">
      <c r="A30" s="231" t="s">
        <v>50</v>
      </c>
      <c r="B30" s="33">
        <f>IF(ISERROR(TER_ander_ele_kWh/1000),0,TER_ander_ele_kWh/1000)</f>
        <v>7928.9720757356299</v>
      </c>
      <c r="C30" s="39">
        <f>IF(ISERROR(B30*3.6/1000000/'E Balans VL '!Z14*100),0,B30*3.6/1000000/'E Balans VL '!Z14*100)</f>
        <v>0.58484270247042824</v>
      </c>
      <c r="D30" s="237" t="s">
        <v>754</v>
      </c>
      <c r="F30" s="6"/>
    </row>
    <row r="31" spans="1:18">
      <c r="A31" s="231" t="s">
        <v>55</v>
      </c>
      <c r="B31" s="33">
        <f>IF(ISERROR(TER_onderwijs_ele_kWh/1000),0,TER_onderwijs_ele_kWh/1000)</f>
        <v>2198.62101849176</v>
      </c>
      <c r="C31" s="39">
        <f>IF(ISERROR(B31*3.6/1000000/'E Balans VL '!Z11*100),0,B31*3.6/1000000/'E Balans VL '!Z11*100)</f>
        <v>0.54602058836527245</v>
      </c>
      <c r="D31" s="237" t="s">
        <v>754</v>
      </c>
    </row>
    <row r="32" spans="1:18">
      <c r="A32" s="231" t="s">
        <v>260</v>
      </c>
      <c r="B32" s="33">
        <f>IF(ISERROR(TER_rest_ele_kWh/1000),0,TER_rest_ele_kWh/1000)</f>
        <v>7252.3912928234604</v>
      </c>
      <c r="C32" s="39">
        <f>IF(ISERROR(B32*3.6/1000000/'E Balans VL '!Z8*100),0,B32*3.6/1000000/'E Balans VL '!Z8*100)</f>
        <v>5.9677553769062183E-2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70622.202294313276</v>
      </c>
      <c r="C5" s="17">
        <f>IF(ISERROR('Eigen informatie GS &amp; warmtenet'!B59),0,'Eigen informatie GS &amp; warmtenet'!B59)</f>
        <v>0</v>
      </c>
      <c r="D5" s="30">
        <f>SUM(D6:D15)</f>
        <v>19325.045395262627</v>
      </c>
      <c r="E5" s="17">
        <f>SUM(E6:E15)</f>
        <v>5839.6383140422149</v>
      </c>
      <c r="F5" s="17">
        <f>SUM(F6:F15)</f>
        <v>18975.49507313134</v>
      </c>
      <c r="G5" s="18"/>
      <c r="H5" s="17"/>
      <c r="I5" s="17"/>
      <c r="J5" s="17">
        <f>SUM(J6:J15)</f>
        <v>214.48590818219969</v>
      </c>
      <c r="K5" s="17"/>
      <c r="L5" s="17"/>
      <c r="M5" s="17"/>
      <c r="N5" s="17">
        <f>SUM(N6:N15)</f>
        <v>16688.272194145698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948.70289584307602</v>
      </c>
      <c r="C8" s="33"/>
      <c r="D8" s="37">
        <f>IF( ISERROR(IND_metaal_Gas_kWH/1000),0,IND_metaal_Gas_kWH/1000)*0.902</f>
        <v>0</v>
      </c>
      <c r="E8" s="33">
        <f>C30*'E Balans VL '!I18/100/3.6*1000000</f>
        <v>8.7224068613065615</v>
      </c>
      <c r="F8" s="33">
        <f>C30*'E Balans VL '!L18/100/3.6*1000000+C30*'E Balans VL '!N18/100/3.6*1000000</f>
        <v>88.95674611344711</v>
      </c>
      <c r="G8" s="34"/>
      <c r="H8" s="33"/>
      <c r="I8" s="33"/>
      <c r="J8" s="40">
        <f>C30*'E Balans VL '!D18/100/3.6*1000000+C30*'E Balans VL '!E18/100/3.6*1000000</f>
        <v>0</v>
      </c>
      <c r="K8" s="33"/>
      <c r="L8" s="33"/>
      <c r="M8" s="33"/>
      <c r="N8" s="33">
        <f>C30*'E Balans VL '!Y18/100/3.6*1000000</f>
        <v>13.534814606758458</v>
      </c>
      <c r="O8" s="33"/>
      <c r="P8" s="33"/>
      <c r="R8" s="32"/>
    </row>
    <row r="9" spans="1:18">
      <c r="A9" s="6" t="s">
        <v>33</v>
      </c>
      <c r="B9" s="37">
        <f t="shared" si="0"/>
        <v>8622.1339978755004</v>
      </c>
      <c r="C9" s="33"/>
      <c r="D9" s="37">
        <f>IF( ISERROR(IND_andere_gas_kWh/1000),0,IND_andere_gas_kWh/1000)*0.902</f>
        <v>9139.3844576214597</v>
      </c>
      <c r="E9" s="33">
        <f>C31*'E Balans VL '!I19/100/3.6*1000000</f>
        <v>2520.4176207297833</v>
      </c>
      <c r="F9" s="33">
        <f>C31*'E Balans VL '!L19/100/3.6*1000000+C31*'E Balans VL '!N19/100/3.6*1000000</f>
        <v>6928.5373028685826</v>
      </c>
      <c r="G9" s="34"/>
      <c r="H9" s="33"/>
      <c r="I9" s="33"/>
      <c r="J9" s="40">
        <f>C31*'E Balans VL '!D19/100/3.6*1000000+C31*'E Balans VL '!E19/100/3.6*1000000</f>
        <v>0</v>
      </c>
      <c r="K9" s="33"/>
      <c r="L9" s="33"/>
      <c r="M9" s="33"/>
      <c r="N9" s="33">
        <f>C31*'E Balans VL '!Y19/100/3.6*1000000</f>
        <v>2848.8867927156302</v>
      </c>
      <c r="O9" s="33"/>
      <c r="P9" s="33"/>
      <c r="R9" s="32"/>
    </row>
    <row r="10" spans="1:18">
      <c r="A10" s="6" t="s">
        <v>41</v>
      </c>
      <c r="B10" s="37">
        <f t="shared" si="0"/>
        <v>969.80008980684704</v>
      </c>
      <c r="C10" s="33"/>
      <c r="D10" s="37">
        <f>IF( ISERROR(IND_voed_gas_kWh/1000),0,IND_voed_gas_kWh/1000)*0.902</f>
        <v>630.70812539895962</v>
      </c>
      <c r="E10" s="33">
        <f>C32*'E Balans VL '!I20/100/3.6*1000000</f>
        <v>2.0516271269148731</v>
      </c>
      <c r="F10" s="33">
        <f>C32*'E Balans VL '!L20/100/3.6*1000000+C32*'E Balans VL '!N20/100/3.6*1000000</f>
        <v>61.660880331661531</v>
      </c>
      <c r="G10" s="34"/>
      <c r="H10" s="33"/>
      <c r="I10" s="33"/>
      <c r="J10" s="40">
        <f>C32*'E Balans VL '!D20/100/3.6*1000000+C32*'E Balans VL '!E20/100/3.6*1000000</f>
        <v>0</v>
      </c>
      <c r="K10" s="33"/>
      <c r="L10" s="33"/>
      <c r="M10" s="33"/>
      <c r="N10" s="33">
        <f>C32*'E Balans VL '!Y20/100/3.6*1000000</f>
        <v>66.925776417803007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109.45838727851201</v>
      </c>
      <c r="C12" s="33"/>
      <c r="D12" s="37">
        <f>IF( ISERROR(IND_min_gas_kWh/1000),0,IND_min_gas_kWh/1000)*0.902</f>
        <v>0</v>
      </c>
      <c r="E12" s="33">
        <f>C34*'E Balans VL '!I22/100/3.6*1000000</f>
        <v>3.172747934328926</v>
      </c>
      <c r="F12" s="33">
        <f>C34*'E Balans VL '!L22/100/3.6*1000000+C34*'E Balans VL '!N22/100/3.6*1000000</f>
        <v>37.633030453695739</v>
      </c>
      <c r="G12" s="34"/>
      <c r="H12" s="33"/>
      <c r="I12" s="33"/>
      <c r="J12" s="40">
        <f>C34*'E Balans VL '!D22/100/3.6*1000000+C34*'E Balans VL '!E22/100/3.6*1000000</f>
        <v>0.1798731150915901</v>
      </c>
      <c r="K12" s="33"/>
      <c r="L12" s="33"/>
      <c r="M12" s="33"/>
      <c r="N12" s="33">
        <f>C34*'E Balans VL '!Y22/100/3.6*1000000</f>
        <v>23.962239736827968</v>
      </c>
      <c r="O12" s="33"/>
      <c r="P12" s="33"/>
      <c r="R12" s="32"/>
    </row>
    <row r="13" spans="1:18">
      <c r="A13" s="6" t="s">
        <v>39</v>
      </c>
      <c r="B13" s="37">
        <f t="shared" si="0"/>
        <v>105.86932004667301</v>
      </c>
      <c r="C13" s="33"/>
      <c r="D13" s="37">
        <f>IF( ISERROR(IND_papier_gas_kWh/1000),0,IND_papier_gas_kWh/1000)*0.902</f>
        <v>89.841220395985658</v>
      </c>
      <c r="E13" s="33">
        <f>C35*'E Balans VL '!I23/100/3.6*1000000</f>
        <v>0.15020435302069257</v>
      </c>
      <c r="F13" s="33">
        <f>C35*'E Balans VL '!L23/100/3.6*1000000+C35*'E Balans VL '!N23/100/3.6*1000000</f>
        <v>2.584668196649559</v>
      </c>
      <c r="G13" s="34"/>
      <c r="H13" s="33"/>
      <c r="I13" s="33"/>
      <c r="J13" s="40">
        <f>C35*'E Balans VL '!D23/100/3.6*1000000+C35*'E Balans VL '!E23/100/3.6*1000000</f>
        <v>1.6373684306964075E-2</v>
      </c>
      <c r="K13" s="33"/>
      <c r="L13" s="33"/>
      <c r="M13" s="33"/>
      <c r="N13" s="33">
        <f>C35*'E Balans VL '!Y23/100/3.6*1000000</f>
        <v>307.73705238627019</v>
      </c>
      <c r="O13" s="33"/>
      <c r="P13" s="33"/>
      <c r="R13" s="32"/>
    </row>
    <row r="14" spans="1:18">
      <c r="A14" s="6" t="s">
        <v>34</v>
      </c>
      <c r="B14" s="37">
        <f t="shared" si="0"/>
        <v>8.4723476570648995</v>
      </c>
      <c r="C14" s="33"/>
      <c r="D14" s="37">
        <f>IF( ISERROR(IND_chemie_gas_kWh/1000),0,IND_chemie_gas_kWh/1000)*0.902</f>
        <v>0</v>
      </c>
      <c r="E14" s="33">
        <f>C36*'E Balans VL '!I24/100/3.6*1000000</f>
        <v>2.0856492444759456E-2</v>
      </c>
      <c r="F14" s="33">
        <f>C36*'E Balans VL '!L24/100/3.6*1000000+C36*'E Balans VL '!N24/100/3.6*1000000</f>
        <v>9.0721501351235467E-2</v>
      </c>
      <c r="G14" s="34"/>
      <c r="H14" s="33"/>
      <c r="I14" s="33"/>
      <c r="J14" s="40">
        <f>C36*'E Balans VL '!D24/100/3.6*1000000+C36*'E Balans VL '!E24/100/3.6*1000000</f>
        <v>0</v>
      </c>
      <c r="K14" s="33"/>
      <c r="L14" s="33"/>
      <c r="M14" s="33"/>
      <c r="N14" s="33">
        <f>C36*'E Balans VL '!Y24/100/3.6*1000000</f>
        <v>0.18920843736915519</v>
      </c>
      <c r="O14" s="33"/>
      <c r="P14" s="33"/>
      <c r="R14" s="32"/>
    </row>
    <row r="15" spans="1:18">
      <c r="A15" s="6" t="s">
        <v>270</v>
      </c>
      <c r="B15" s="37">
        <f t="shared" si="0"/>
        <v>59857.7652558056</v>
      </c>
      <c r="C15" s="33"/>
      <c r="D15" s="37">
        <f>IF( ISERROR(IND_rest_gas_kWh/1000),0,IND_rest_gas_kWh/1000)*0.902</f>
        <v>9465.1115918462219</v>
      </c>
      <c r="E15" s="33">
        <f>C37*'E Balans VL '!I15/100/3.6*1000000</f>
        <v>3305.102850544416</v>
      </c>
      <c r="F15" s="33">
        <f>C37*'E Balans VL '!L15/100/3.6*1000000+C37*'E Balans VL '!N15/100/3.6*1000000</f>
        <v>11856.031723665952</v>
      </c>
      <c r="G15" s="34"/>
      <c r="H15" s="33"/>
      <c r="I15" s="33"/>
      <c r="J15" s="40">
        <f>C37*'E Balans VL '!D15/100/3.6*1000000+C37*'E Balans VL '!E15/100/3.6*1000000</f>
        <v>214.28966138280114</v>
      </c>
      <c r="K15" s="33"/>
      <c r="L15" s="33"/>
      <c r="M15" s="33"/>
      <c r="N15" s="33">
        <f>C37*'E Balans VL '!Y15/100/3.6*1000000</f>
        <v>13427.03630984504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70622.202294313276</v>
      </c>
      <c r="C18" s="21">
        <f>C5+C16</f>
        <v>0</v>
      </c>
      <c r="D18" s="21">
        <f>MAX((D5+D16),0)</f>
        <v>19325.045395262627</v>
      </c>
      <c r="E18" s="21">
        <f>MAX((E5+E16),0)</f>
        <v>5839.6383140422149</v>
      </c>
      <c r="F18" s="21">
        <f>MAX((F5+F16),0)</f>
        <v>18975.49507313134</v>
      </c>
      <c r="G18" s="21"/>
      <c r="H18" s="21"/>
      <c r="I18" s="21"/>
      <c r="J18" s="21">
        <f>MAX((J5+J16),0)</f>
        <v>214.48590818219969</v>
      </c>
      <c r="K18" s="21"/>
      <c r="L18" s="21">
        <f>MAX((L5+L16),0)</f>
        <v>0</v>
      </c>
      <c r="M18" s="21"/>
      <c r="N18" s="21">
        <f>MAX((N5+N16),0)</f>
        <v>16688.272194145698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0.20658242476426364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14589.305792151579</v>
      </c>
      <c r="C22" s="23">
        <f ca="1">C18*C20</f>
        <v>0</v>
      </c>
      <c r="D22" s="23">
        <f>D18*D20</f>
        <v>3903.6591698430507</v>
      </c>
      <c r="E22" s="23">
        <f>E18*E20</f>
        <v>1325.5978972875828</v>
      </c>
      <c r="F22" s="23">
        <f>F18*F20</f>
        <v>5066.457184526068</v>
      </c>
      <c r="G22" s="23"/>
      <c r="H22" s="23"/>
      <c r="I22" s="23"/>
      <c r="J22" s="23">
        <f>J18*J20</f>
        <v>75.928011496498684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948.70289584307602</v>
      </c>
      <c r="C30" s="39">
        <f>IF(ISERROR(B30*3.6/1000000/'E Balans VL '!Z18*100),0,B30*3.6/1000000/'E Balans VL '!Z18*100)</f>
        <v>5.3765425740758051E-2</v>
      </c>
      <c r="D30" s="237" t="s">
        <v>754</v>
      </c>
    </row>
    <row r="31" spans="1:18">
      <c r="A31" s="6" t="s">
        <v>33</v>
      </c>
      <c r="B31" s="37">
        <f>IF( ISERROR(IND_ander_ele_kWh/1000),0,IND_ander_ele_kWh/1000)</f>
        <v>8622.1339978755004</v>
      </c>
      <c r="C31" s="39">
        <f>IF(ISERROR(B31*3.6/1000000/'E Balans VL '!Z19*100),0,B31*3.6/1000000/'E Balans VL '!Z19*100)</f>
        <v>0.39106409620252791</v>
      </c>
      <c r="D31" s="237" t="s">
        <v>754</v>
      </c>
    </row>
    <row r="32" spans="1:18">
      <c r="A32" s="171" t="s">
        <v>41</v>
      </c>
      <c r="B32" s="37">
        <f>IF( ISERROR(IND_voed_ele_kWh/1000),0,IND_voed_ele_kWh/1000)</f>
        <v>969.80008980684704</v>
      </c>
      <c r="C32" s="39">
        <f>IF(ISERROR(B32*3.6/1000000/'E Balans VL '!Z20*100),0,B32*3.6/1000000/'E Balans VL '!Z20*100)</f>
        <v>3.0000319298404493E-2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109.45838727851201</v>
      </c>
      <c r="C34" s="39">
        <f>IF(ISERROR(B34*3.6/1000000/'E Balans VL '!Z22*100),0,B34*3.6/1000000/'E Balans VL '!Z22*100)</f>
        <v>1.9688148809052206E-2</v>
      </c>
      <c r="D34" s="237" t="s">
        <v>754</v>
      </c>
    </row>
    <row r="35" spans="1:5">
      <c r="A35" s="171" t="s">
        <v>39</v>
      </c>
      <c r="B35" s="37">
        <f>IF( ISERROR(IND_papier_ele_kWh/1000),0,IND_papier_ele_kWh/1000)</f>
        <v>105.86932004667301</v>
      </c>
      <c r="C35" s="39">
        <f>IF(ISERROR(B35*3.6/1000000/'E Balans VL '!Z22*100),0,B35*3.6/1000000/'E Balans VL '!Z22*100)</f>
        <v>1.9042587591652366E-2</v>
      </c>
      <c r="D35" s="237" t="s">
        <v>754</v>
      </c>
    </row>
    <row r="36" spans="1:5">
      <c r="A36" s="171" t="s">
        <v>34</v>
      </c>
      <c r="B36" s="37">
        <f>IF( ISERROR(IND_chemie_ele_kWh/1000),0,IND_chemie_ele_kWh/1000)</f>
        <v>8.4723476570648995</v>
      </c>
      <c r="C36" s="39">
        <f>IF(ISERROR(B36*3.6/1000000/'E Balans VL '!Z24*100),0,B36*3.6/1000000/'E Balans VL '!Z24*100)</f>
        <v>2.5835598014358488E-4</v>
      </c>
      <c r="D36" s="237" t="s">
        <v>754</v>
      </c>
    </row>
    <row r="37" spans="1:5">
      <c r="A37" s="171" t="s">
        <v>270</v>
      </c>
      <c r="B37" s="37">
        <f>IF( ISERROR(IND_rest_ele_kWh/1000),0,IND_rest_ele_kWh/1000)</f>
        <v>59857.7652558056</v>
      </c>
      <c r="C37" s="39">
        <f>IF(ISERROR(B37*3.6/1000000/'E Balans VL '!Z15*100),0,B37*3.6/1000000/'E Balans VL '!Z15*100)</f>
        <v>0.47444630197936971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1251.8680151130211</v>
      </c>
      <c r="C5" s="17">
        <f>'Eigen informatie GS &amp; warmtenet'!B60</f>
        <v>0</v>
      </c>
      <c r="D5" s="30">
        <f>IF(ISERROR(SUM(LB_lb_gas_kWh,LB_rest_gas_kWh)/1000),0,SUM(LB_lb_gas_kWh,LB_rest_gas_kWh)/1000)*0.902</f>
        <v>199.20473734944903</v>
      </c>
      <c r="E5" s="17">
        <f>B17*'E Balans VL '!I25/3.6*1000000/100</f>
        <v>36.796224610420815</v>
      </c>
      <c r="F5" s="17">
        <f>B17*('E Balans VL '!L25/3.6*1000000+'E Balans VL '!N25/3.6*1000000)/100</f>
        <v>5215.2145035639624</v>
      </c>
      <c r="G5" s="18"/>
      <c r="H5" s="17"/>
      <c r="I5" s="17"/>
      <c r="J5" s="17">
        <f>('E Balans VL '!D25+'E Balans VL '!E25)/3.6*1000000*landbouw!B17/100</f>
        <v>181.36879121651208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1251.8680151130211</v>
      </c>
      <c r="C8" s="21">
        <f>C5+C6</f>
        <v>0</v>
      </c>
      <c r="D8" s="21">
        <f>MAX((D5+D6),0)</f>
        <v>199.20473734944903</v>
      </c>
      <c r="E8" s="21">
        <f>MAX((E5+E6),0)</f>
        <v>36.796224610420815</v>
      </c>
      <c r="F8" s="21">
        <f>MAX((F5+F6),0)</f>
        <v>5215.2145035639624</v>
      </c>
      <c r="G8" s="21"/>
      <c r="H8" s="21"/>
      <c r="I8" s="21"/>
      <c r="J8" s="21">
        <f>MAX((J5+J6),0)</f>
        <v>181.36879121651208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0.20658242476426364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258.61393004687375</v>
      </c>
      <c r="C12" s="23">
        <f ca="1">C8*C10</f>
        <v>0</v>
      </c>
      <c r="D12" s="23">
        <f>D8*D10</f>
        <v>40.239356944588707</v>
      </c>
      <c r="E12" s="23">
        <f>E8*E10</f>
        <v>8.3527429865655254</v>
      </c>
      <c r="F12" s="23">
        <f>F8*F10</f>
        <v>1392.462272451578</v>
      </c>
      <c r="G12" s="23"/>
      <c r="H12" s="23"/>
      <c r="I12" s="23"/>
      <c r="J12" s="23">
        <f>J8*J10</f>
        <v>64.204552090645279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0.177643998960655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265.27746048715892</v>
      </c>
      <c r="C26" s="247">
        <f>B26*'GWP N2O_CH4'!B5</f>
        <v>5570.8266702303372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62.711109798046564</v>
      </c>
      <c r="C27" s="247">
        <f>B27*'GWP N2O_CH4'!B5</f>
        <v>1316.9333057589779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3.1920995167801189</v>
      </c>
      <c r="C28" s="247">
        <f>B28*'GWP N2O_CH4'!B4</f>
        <v>989.55085020183685</v>
      </c>
      <c r="D28" s="50"/>
    </row>
    <row r="29" spans="1:4">
      <c r="A29" s="41" t="s">
        <v>277</v>
      </c>
      <c r="B29" s="247">
        <f>B34*'ha_N2O bodem landbouw'!B4</f>
        <v>20.811966556388025</v>
      </c>
      <c r="C29" s="247">
        <f>B29*'GWP N2O_CH4'!B4</f>
        <v>6451.7096324802878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4.7492190469403265E-3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3.6033030762030132E-4</v>
      </c>
      <c r="C5" s="463" t="s">
        <v>211</v>
      </c>
      <c r="D5" s="448">
        <f>SUM(D6:D11)</f>
        <v>1.2498050282584133E-3</v>
      </c>
      <c r="E5" s="448">
        <f>SUM(E6:E11)</f>
        <v>1.7399717648509416E-3</v>
      </c>
      <c r="F5" s="461" t="s">
        <v>211</v>
      </c>
      <c r="G5" s="448">
        <f>SUM(G6:G11)</f>
        <v>0.73287957119903735</v>
      </c>
      <c r="H5" s="448">
        <f>SUM(H6:H11)</f>
        <v>0.14205580386151734</v>
      </c>
      <c r="I5" s="463" t="s">
        <v>211</v>
      </c>
      <c r="J5" s="463" t="s">
        <v>211</v>
      </c>
      <c r="K5" s="463" t="s">
        <v>211</v>
      </c>
      <c r="L5" s="463" t="s">
        <v>211</v>
      </c>
      <c r="M5" s="448">
        <f>SUM(M6:M11)</f>
        <v>4.7009662152282826E-2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2.2578112719991796E-4</v>
      </c>
      <c r="C6" s="449"/>
      <c r="D6" s="892">
        <f>vkm_2011_GW_PW*SUMIFS(TableVerdeelsleutelVkm[CNG],TableVerdeelsleutelVkm[Voertuigtype],"Lichte voertuigen")*SUMIFS(TableECFTransport[EnergieConsumptieFactor (PJ per km)],TableECFTransport[Index],CONCATENATE($A6,"_CNG_CNG"))</f>
        <v>6.7721379502006429E-4</v>
      </c>
      <c r="E6" s="892">
        <f>vkm_2011_GW_PW*SUMIFS(TableVerdeelsleutelVkm[LPG],TableVerdeelsleutelVkm[Voertuigtype],"Lichte voertuigen")*SUMIFS(TableECFTransport[EnergieConsumptieFactor (PJ per km)],TableECFTransport[Index],CONCATENATE($A6,"_LPG_LPG"))</f>
        <v>9.251713209650342E-4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0.23920689308903156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7.7025276798751555E-2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1.6247776842753484E-2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0.10782577383230015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3.2863104833227799E-5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6.3009744392476192E-3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6.8522165825876623E-5</v>
      </c>
      <c r="C8" s="449"/>
      <c r="D8" s="451">
        <f>vkm_2011_NGW_PW*SUMIFS(TableVerdeelsleutelVkm[CNG],TableVerdeelsleutelVkm[Voertuigtype],"Lichte voertuigen")*SUMIFS(TableECFTransport[EnergieConsumptieFactor (PJ per km)],TableECFTransport[Index],CONCATENATE($A8,"_CNG_CNG"))</f>
        <v>3.6542960946112096E-4</v>
      </c>
      <c r="E8" s="451">
        <f>vkm_2011_NGW_PW*SUMIFS(TableVerdeelsleutelVkm[LPG],TableVerdeelsleutelVkm[Voertuigtype],"Lichte voertuigen")*SUMIFS(TableECFTransport[EnergieConsumptieFactor (PJ per km)],TableECFTransport[Index],CONCATENATE($A8,"_LPG_LPG"))</f>
        <v>4.6234301636017796E-4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0.11139929318856508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4.0390534106028539E-2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7.6999184475409505E-3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2.448634574915259E-2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7.0257135332412276E-6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1.4308865394690757E-3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6.6027014594506738E-5</v>
      </c>
      <c r="C10" s="449"/>
      <c r="D10" s="451">
        <f>vkm_2011_SW_PW*SUMIFS(TableVerdeelsleutelVkm[CNG],TableVerdeelsleutelVkm[Voertuigtype],"Lichte voertuigen")*SUMIFS(TableECFTransport[EnergieConsumptieFactor (PJ per km)],TableECFTransport[Index],CONCATENATE($A10,"_CNG_CNG"))</f>
        <v>2.0716162377722793E-4</v>
      </c>
      <c r="E10" s="451">
        <f>vkm_2011_SW_PW*SUMIFS(TableVerdeelsleutelVkm[LPG],TableVerdeelsleutelVkm[Voertuigtype],"Lichte voertuigen")*SUMIFS(TableECFTransport[EnergieConsumptieFactor (PJ per km)],TableECFTransport[Index],CONCATENATE($A10,"_LPG_LPG"))</f>
        <v>3.5245742752572958E-4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8.1242235606623844E-2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2.4544573891421617E-2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5.470613862629951E-3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0.16871902973336414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5.5530246949149625E-5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9.8594920206417497E-3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100.09175211675037</v>
      </c>
      <c r="C14" s="21"/>
      <c r="D14" s="21">
        <f t="shared" ref="D14:M14" si="0">((D5)*10^9/3600)+D12</f>
        <v>347.16806340511482</v>
      </c>
      <c r="E14" s="21">
        <f t="shared" si="0"/>
        <v>483.32549023637262</v>
      </c>
      <c r="F14" s="21"/>
      <c r="G14" s="21">
        <f t="shared" si="0"/>
        <v>203577.65866639925</v>
      </c>
      <c r="H14" s="21">
        <f t="shared" si="0"/>
        <v>39459.945517088148</v>
      </c>
      <c r="I14" s="21"/>
      <c r="J14" s="21"/>
      <c r="K14" s="21"/>
      <c r="L14" s="21"/>
      <c r="M14" s="21">
        <f t="shared" si="0"/>
        <v>13058.239486745229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0.20658242476426364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20.677196851181911</v>
      </c>
      <c r="C18" s="23"/>
      <c r="D18" s="23">
        <f t="shared" ref="D18:M18" si="1">D14*D16</f>
        <v>70.127948807833192</v>
      </c>
      <c r="E18" s="23">
        <f t="shared" si="1"/>
        <v>109.71488628365658</v>
      </c>
      <c r="F18" s="23"/>
      <c r="G18" s="23">
        <f t="shared" si="1"/>
        <v>54355.234863928599</v>
      </c>
      <c r="H18" s="23">
        <f t="shared" si="1"/>
        <v>9825.5264337549488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9.6553944873132326E-3</v>
      </c>
      <c r="H50" s="321">
        <f t="shared" si="2"/>
        <v>0</v>
      </c>
      <c r="I50" s="321">
        <f t="shared" si="2"/>
        <v>0</v>
      </c>
      <c r="J50" s="321">
        <f t="shared" si="2"/>
        <v>0</v>
      </c>
      <c r="K50" s="321">
        <f t="shared" si="2"/>
        <v>0</v>
      </c>
      <c r="L50" s="321">
        <f t="shared" si="2"/>
        <v>0</v>
      </c>
      <c r="M50" s="321">
        <f t="shared" si="2"/>
        <v>5.4838378240290424E-4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9.6553944873132326E-3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5.4838378240290424E-4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2682.0540242536758</v>
      </c>
      <c r="H54" s="21">
        <f t="shared" si="3"/>
        <v>0</v>
      </c>
      <c r="I54" s="21">
        <f t="shared" si="3"/>
        <v>0</v>
      </c>
      <c r="J54" s="21">
        <f t="shared" si="3"/>
        <v>0</v>
      </c>
      <c r="K54" s="21">
        <f t="shared" si="3"/>
        <v>0</v>
      </c>
      <c r="L54" s="21">
        <f t="shared" si="3"/>
        <v>0</v>
      </c>
      <c r="M54" s="21">
        <f t="shared" si="3"/>
        <v>152.32882844525119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0.20658242476426364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716.10842447573145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78808.263472615785</v>
      </c>
      <c r="D10" s="1013">
        <f ca="1">tertiair!C16</f>
        <v>35.357142857142861</v>
      </c>
      <c r="E10" s="1013">
        <f ca="1">tertiair!D16</f>
        <v>105758.44438216096</v>
      </c>
      <c r="F10" s="1013">
        <f>tertiair!E16</f>
        <v>786.96244884474879</v>
      </c>
      <c r="G10" s="1013">
        <f ca="1">tertiair!F16</f>
        <v>13080.314655709089</v>
      </c>
      <c r="H10" s="1013">
        <f>tertiair!G16</f>
        <v>0</v>
      </c>
      <c r="I10" s="1013">
        <f>tertiair!H16</f>
        <v>0</v>
      </c>
      <c r="J10" s="1013">
        <f>tertiair!I16</f>
        <v>0</v>
      </c>
      <c r="K10" s="1013">
        <f>tertiair!J16</f>
        <v>0.18966875159255939</v>
      </c>
      <c r="L10" s="1013">
        <f>tertiair!K16</f>
        <v>0</v>
      </c>
      <c r="M10" s="1013">
        <f ca="1">tertiair!L16</f>
        <v>0</v>
      </c>
      <c r="N10" s="1013">
        <f>tertiair!M16</f>
        <v>0</v>
      </c>
      <c r="O10" s="1013">
        <f ca="1">tertiair!N16</f>
        <v>7519.7284395574925</v>
      </c>
      <c r="P10" s="1013">
        <f>tertiair!O16</f>
        <v>6.2533333333333339</v>
      </c>
      <c r="Q10" s="1014">
        <f>tertiair!P16</f>
        <v>38.133333333333333</v>
      </c>
      <c r="R10" s="700">
        <f ca="1">SUM(C10:Q10)</f>
        <v>206033.64687716344</v>
      </c>
      <c r="S10" s="67"/>
    </row>
    <row r="11" spans="1:19" s="473" customFormat="1">
      <c r="A11" s="809" t="s">
        <v>225</v>
      </c>
      <c r="B11" s="814"/>
      <c r="C11" s="1013">
        <f>huishoudens!B8</f>
        <v>62311.563551219115</v>
      </c>
      <c r="D11" s="1013">
        <f>huishoudens!C8</f>
        <v>0</v>
      </c>
      <c r="E11" s="1013">
        <f>huishoudens!D8</f>
        <v>137486.035204118</v>
      </c>
      <c r="F11" s="1013">
        <f>huishoudens!E8</f>
        <v>6379.4465914628381</v>
      </c>
      <c r="G11" s="1013">
        <f>huishoudens!F8</f>
        <v>55364.689811498502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42901.860459181233</v>
      </c>
      <c r="P11" s="1013">
        <f>huishoudens!O8</f>
        <v>837.94666666666683</v>
      </c>
      <c r="Q11" s="1014">
        <f>huishoudens!P8</f>
        <v>3031.6</v>
      </c>
      <c r="R11" s="700">
        <f>SUM(C11:Q11)</f>
        <v>308313.14228414634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70622.202294313276</v>
      </c>
      <c r="D13" s="1013">
        <f>industrie!C18</f>
        <v>0</v>
      </c>
      <c r="E13" s="1013">
        <f>industrie!D18</f>
        <v>19325.045395262627</v>
      </c>
      <c r="F13" s="1013">
        <f>industrie!E18</f>
        <v>5839.6383140422149</v>
      </c>
      <c r="G13" s="1013">
        <f>industrie!F18</f>
        <v>18975.49507313134</v>
      </c>
      <c r="H13" s="1013">
        <f>industrie!G18</f>
        <v>0</v>
      </c>
      <c r="I13" s="1013">
        <f>industrie!H18</f>
        <v>0</v>
      </c>
      <c r="J13" s="1013">
        <f>industrie!I18</f>
        <v>0</v>
      </c>
      <c r="K13" s="1013">
        <f>industrie!J18</f>
        <v>214.48590818219969</v>
      </c>
      <c r="L13" s="1013">
        <f>industrie!K18</f>
        <v>0</v>
      </c>
      <c r="M13" s="1013">
        <f>industrie!L18</f>
        <v>0</v>
      </c>
      <c r="N13" s="1013">
        <f>industrie!M18</f>
        <v>0</v>
      </c>
      <c r="O13" s="1013">
        <f>industrie!N18</f>
        <v>16688.272194145698</v>
      </c>
      <c r="P13" s="1013">
        <f>industrie!O18</f>
        <v>0</v>
      </c>
      <c r="Q13" s="1014">
        <f>industrie!P18</f>
        <v>0</v>
      </c>
      <c r="R13" s="700">
        <f>SUM(C13:Q13)</f>
        <v>131665.13917907735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211742.02931814815</v>
      </c>
      <c r="D16" s="732">
        <f t="shared" ref="D16:R16" ca="1" si="0">SUM(D9:D15)</f>
        <v>35.357142857142861</v>
      </c>
      <c r="E16" s="732">
        <f t="shared" ca="1" si="0"/>
        <v>262569.52498154156</v>
      </c>
      <c r="F16" s="732">
        <f t="shared" si="0"/>
        <v>13006.047354349801</v>
      </c>
      <c r="G16" s="732">
        <f t="shared" ca="1" si="0"/>
        <v>87420.499540338933</v>
      </c>
      <c r="H16" s="732">
        <f t="shared" si="0"/>
        <v>0</v>
      </c>
      <c r="I16" s="732">
        <f t="shared" si="0"/>
        <v>0</v>
      </c>
      <c r="J16" s="732">
        <f t="shared" si="0"/>
        <v>0</v>
      </c>
      <c r="K16" s="732">
        <f t="shared" si="0"/>
        <v>214.67557693379226</v>
      </c>
      <c r="L16" s="732">
        <f t="shared" si="0"/>
        <v>0</v>
      </c>
      <c r="M16" s="732">
        <f t="shared" ca="1" si="0"/>
        <v>0</v>
      </c>
      <c r="N16" s="732">
        <f t="shared" si="0"/>
        <v>0</v>
      </c>
      <c r="O16" s="732">
        <f t="shared" ca="1" si="0"/>
        <v>67109.861092884414</v>
      </c>
      <c r="P16" s="732">
        <f t="shared" si="0"/>
        <v>844.20000000000016</v>
      </c>
      <c r="Q16" s="732">
        <f t="shared" si="0"/>
        <v>3069.7333333333331</v>
      </c>
      <c r="R16" s="732">
        <f t="shared" ca="1" si="0"/>
        <v>646011.92834038706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2682.0540242536758</v>
      </c>
      <c r="I19" s="1013">
        <f>transport!H54</f>
        <v>0</v>
      </c>
      <c r="J19" s="1013">
        <f>transport!I54</f>
        <v>0</v>
      </c>
      <c r="K19" s="1013">
        <f>transport!J54</f>
        <v>0</v>
      </c>
      <c r="L19" s="1013">
        <f>transport!K54</f>
        <v>0</v>
      </c>
      <c r="M19" s="1013">
        <f>transport!L54</f>
        <v>0</v>
      </c>
      <c r="N19" s="1013">
        <f>transport!M54</f>
        <v>152.32882844525119</v>
      </c>
      <c r="O19" s="1013">
        <f>transport!N54</f>
        <v>0</v>
      </c>
      <c r="P19" s="1013">
        <f>transport!O54</f>
        <v>0</v>
      </c>
      <c r="Q19" s="1014">
        <f>transport!P54</f>
        <v>0</v>
      </c>
      <c r="R19" s="700">
        <f>SUM(C19:Q19)</f>
        <v>2834.3828526989269</v>
      </c>
      <c r="S19" s="67"/>
    </row>
    <row r="20" spans="1:19" s="473" customFormat="1">
      <c r="A20" s="809" t="s">
        <v>307</v>
      </c>
      <c r="B20" s="814"/>
      <c r="C20" s="1013">
        <f>transport!B14</f>
        <v>100.09175211675037</v>
      </c>
      <c r="D20" s="1013">
        <f>transport!C14</f>
        <v>0</v>
      </c>
      <c r="E20" s="1013">
        <f>transport!D14</f>
        <v>347.16806340511482</v>
      </c>
      <c r="F20" s="1013">
        <f>transport!E14</f>
        <v>483.32549023637262</v>
      </c>
      <c r="G20" s="1013">
        <f>transport!F14</f>
        <v>0</v>
      </c>
      <c r="H20" s="1013">
        <f>transport!G14</f>
        <v>203577.65866639925</v>
      </c>
      <c r="I20" s="1013">
        <f>transport!H14</f>
        <v>39459.945517088148</v>
      </c>
      <c r="J20" s="1013">
        <f>transport!I14</f>
        <v>0</v>
      </c>
      <c r="K20" s="1013">
        <f>transport!J14</f>
        <v>0</v>
      </c>
      <c r="L20" s="1013">
        <f>transport!K14</f>
        <v>0</v>
      </c>
      <c r="M20" s="1013">
        <f>transport!L14</f>
        <v>0</v>
      </c>
      <c r="N20" s="1013">
        <f>transport!M14</f>
        <v>13058.239486745229</v>
      </c>
      <c r="O20" s="1013">
        <f>transport!N14</f>
        <v>0</v>
      </c>
      <c r="P20" s="1013">
        <f>transport!O14</f>
        <v>0</v>
      </c>
      <c r="Q20" s="1014">
        <f>transport!P14</f>
        <v>0</v>
      </c>
      <c r="R20" s="700">
        <f>SUM(C20:Q20)</f>
        <v>257026.42897599086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100.09175211675037</v>
      </c>
      <c r="D22" s="812">
        <f t="shared" ref="D22:R22" si="1">SUM(D18:D21)</f>
        <v>0</v>
      </c>
      <c r="E22" s="812">
        <f t="shared" si="1"/>
        <v>347.16806340511482</v>
      </c>
      <c r="F22" s="812">
        <f t="shared" si="1"/>
        <v>483.32549023637262</v>
      </c>
      <c r="G22" s="812">
        <f t="shared" si="1"/>
        <v>0</v>
      </c>
      <c r="H22" s="812">
        <f t="shared" si="1"/>
        <v>206259.71269065293</v>
      </c>
      <c r="I22" s="812">
        <f t="shared" si="1"/>
        <v>39459.945517088148</v>
      </c>
      <c r="J22" s="812">
        <f t="shared" si="1"/>
        <v>0</v>
      </c>
      <c r="K22" s="812">
        <f t="shared" si="1"/>
        <v>0</v>
      </c>
      <c r="L22" s="812">
        <f t="shared" si="1"/>
        <v>0</v>
      </c>
      <c r="M22" s="812">
        <f t="shared" si="1"/>
        <v>0</v>
      </c>
      <c r="N22" s="812">
        <f t="shared" si="1"/>
        <v>13210.568315190481</v>
      </c>
      <c r="O22" s="812">
        <f t="shared" si="1"/>
        <v>0</v>
      </c>
      <c r="P22" s="812">
        <f t="shared" si="1"/>
        <v>0</v>
      </c>
      <c r="Q22" s="812">
        <f t="shared" si="1"/>
        <v>0</v>
      </c>
      <c r="R22" s="812">
        <f t="shared" si="1"/>
        <v>259860.8118286898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1251.8680151130211</v>
      </c>
      <c r="D24" s="1013">
        <f>+landbouw!C8</f>
        <v>0</v>
      </c>
      <c r="E24" s="1013">
        <f>+landbouw!D8</f>
        <v>199.20473734944903</v>
      </c>
      <c r="F24" s="1013">
        <f>+landbouw!E8</f>
        <v>36.796224610420815</v>
      </c>
      <c r="G24" s="1013">
        <f>+landbouw!F8</f>
        <v>5215.2145035639624</v>
      </c>
      <c r="H24" s="1013">
        <f>+landbouw!G8</f>
        <v>0</v>
      </c>
      <c r="I24" s="1013">
        <f>+landbouw!H8</f>
        <v>0</v>
      </c>
      <c r="J24" s="1013">
        <f>+landbouw!I8</f>
        <v>0</v>
      </c>
      <c r="K24" s="1013">
        <f>+landbouw!J8</f>
        <v>181.36879121651208</v>
      </c>
      <c r="L24" s="1013">
        <f>+landbouw!K8</f>
        <v>0</v>
      </c>
      <c r="M24" s="1013">
        <f>+landbouw!L8</f>
        <v>0</v>
      </c>
      <c r="N24" s="1013">
        <f>+landbouw!M8</f>
        <v>0</v>
      </c>
      <c r="O24" s="1013">
        <f>+landbouw!N8</f>
        <v>0</v>
      </c>
      <c r="P24" s="1013">
        <f>+landbouw!O8</f>
        <v>0</v>
      </c>
      <c r="Q24" s="1014">
        <f>+landbouw!P8</f>
        <v>0</v>
      </c>
      <c r="R24" s="700">
        <f>SUM(C24:Q24)</f>
        <v>6884.4522718533653</v>
      </c>
      <c r="S24" s="67"/>
    </row>
    <row r="25" spans="1:19" s="473" customFormat="1" ht="15" thickBot="1">
      <c r="A25" s="831" t="s">
        <v>836</v>
      </c>
      <c r="B25" s="1016"/>
      <c r="C25" s="1017">
        <f>IF(Onbekend_ele_kWh="---",0,Onbekend_ele_kWh)/1000+IF(REST_rest_ele_kWh="---",0,REST_rest_ele_kWh)/1000</f>
        <v>3952.3721416078497</v>
      </c>
      <c r="D25" s="1017"/>
      <c r="E25" s="1017">
        <f>IF(onbekend_gas_kWh="---",0,onbekend_gas_kWh)/1000+IF(REST_rest_gas_kWh="---",0,REST_rest_gas_kWh)/1000</f>
        <v>6518.4962763843396</v>
      </c>
      <c r="F25" s="1017"/>
      <c r="G25" s="1017"/>
      <c r="H25" s="1017"/>
      <c r="I25" s="1017"/>
      <c r="J25" s="1017"/>
      <c r="K25" s="1017"/>
      <c r="L25" s="1017"/>
      <c r="M25" s="1017"/>
      <c r="N25" s="1017"/>
      <c r="O25" s="1017"/>
      <c r="P25" s="1017"/>
      <c r="Q25" s="1018"/>
      <c r="R25" s="700">
        <f>SUM(C25:Q25)</f>
        <v>10470.868417992189</v>
      </c>
      <c r="S25" s="67"/>
    </row>
    <row r="26" spans="1:19" s="473" customFormat="1" ht="15.75" thickBot="1">
      <c r="A26" s="705" t="s">
        <v>837</v>
      </c>
      <c r="B26" s="817"/>
      <c r="C26" s="812">
        <f>SUM(C24:C25)</f>
        <v>5204.2401567208708</v>
      </c>
      <c r="D26" s="812">
        <f t="shared" ref="D26:R26" si="2">SUM(D24:D25)</f>
        <v>0</v>
      </c>
      <c r="E26" s="812">
        <f t="shared" si="2"/>
        <v>6717.7010137337884</v>
      </c>
      <c r="F26" s="812">
        <f t="shared" si="2"/>
        <v>36.796224610420815</v>
      </c>
      <c r="G26" s="812">
        <f t="shared" si="2"/>
        <v>5215.2145035639624</v>
      </c>
      <c r="H26" s="812">
        <f t="shared" si="2"/>
        <v>0</v>
      </c>
      <c r="I26" s="812">
        <f t="shared" si="2"/>
        <v>0</v>
      </c>
      <c r="J26" s="812">
        <f t="shared" si="2"/>
        <v>0</v>
      </c>
      <c r="K26" s="812">
        <f t="shared" si="2"/>
        <v>181.36879121651208</v>
      </c>
      <c r="L26" s="812">
        <f t="shared" si="2"/>
        <v>0</v>
      </c>
      <c r="M26" s="812">
        <f t="shared" si="2"/>
        <v>0</v>
      </c>
      <c r="N26" s="812">
        <f t="shared" si="2"/>
        <v>0</v>
      </c>
      <c r="O26" s="812">
        <f t="shared" si="2"/>
        <v>0</v>
      </c>
      <c r="P26" s="812">
        <f t="shared" si="2"/>
        <v>0</v>
      </c>
      <c r="Q26" s="812">
        <f t="shared" si="2"/>
        <v>0</v>
      </c>
      <c r="R26" s="812">
        <f t="shared" si="2"/>
        <v>17355.320689845554</v>
      </c>
      <c r="S26" s="67"/>
    </row>
    <row r="27" spans="1:19" s="473" customFormat="1" ht="17.25" thickTop="1" thickBot="1">
      <c r="A27" s="706" t="s">
        <v>116</v>
      </c>
      <c r="B27" s="805"/>
      <c r="C27" s="707">
        <f ca="1">C22+C16+C26</f>
        <v>217046.36122698575</v>
      </c>
      <c r="D27" s="707">
        <f t="shared" ref="D27:R27" ca="1" si="3">D22+D16+D26</f>
        <v>35.357142857142861</v>
      </c>
      <c r="E27" s="707">
        <f t="shared" ca="1" si="3"/>
        <v>269634.39405868045</v>
      </c>
      <c r="F27" s="707">
        <f t="shared" si="3"/>
        <v>13526.169069196596</v>
      </c>
      <c r="G27" s="707">
        <f t="shared" ca="1" si="3"/>
        <v>92635.714043902903</v>
      </c>
      <c r="H27" s="707">
        <f t="shared" si="3"/>
        <v>206259.71269065293</v>
      </c>
      <c r="I27" s="707">
        <f t="shared" si="3"/>
        <v>39459.945517088148</v>
      </c>
      <c r="J27" s="707">
        <f t="shared" si="3"/>
        <v>0</v>
      </c>
      <c r="K27" s="707">
        <f t="shared" si="3"/>
        <v>396.04436815030431</v>
      </c>
      <c r="L27" s="707">
        <f t="shared" si="3"/>
        <v>0</v>
      </c>
      <c r="M27" s="707">
        <f t="shared" ca="1" si="3"/>
        <v>0</v>
      </c>
      <c r="N27" s="707">
        <f t="shared" si="3"/>
        <v>13210.568315190481</v>
      </c>
      <c r="O27" s="707">
        <f t="shared" ca="1" si="3"/>
        <v>67109.861092884414</v>
      </c>
      <c r="P27" s="707">
        <f t="shared" si="3"/>
        <v>844.20000000000016</v>
      </c>
      <c r="Q27" s="707">
        <f t="shared" si="3"/>
        <v>3069.7333333333331</v>
      </c>
      <c r="R27" s="707">
        <f t="shared" ca="1" si="3"/>
        <v>923228.06085892243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16280.402159633915</v>
      </c>
      <c r="D40" s="1013">
        <f ca="1">tertiair!C20</f>
        <v>8.4025210084033635</v>
      </c>
      <c r="E40" s="1013">
        <f ca="1">tertiair!D20</f>
        <v>21363.205765196515</v>
      </c>
      <c r="F40" s="1013">
        <f>tertiair!E20</f>
        <v>178.64047588775799</v>
      </c>
      <c r="G40" s="1013">
        <f ca="1">tertiair!F20</f>
        <v>3492.4440130743269</v>
      </c>
      <c r="H40" s="1013">
        <f>tertiair!G20</f>
        <v>0</v>
      </c>
      <c r="I40" s="1013">
        <f>tertiair!H20</f>
        <v>0</v>
      </c>
      <c r="J40" s="1013">
        <f>tertiair!I20</f>
        <v>0</v>
      </c>
      <c r="K40" s="1013">
        <f>tertiair!J20</f>
        <v>6.7142738063766014E-2</v>
      </c>
      <c r="L40" s="1013">
        <f>tertiair!K20</f>
        <v>0</v>
      </c>
      <c r="M40" s="1013">
        <f ca="1">tertiair!L20</f>
        <v>0</v>
      </c>
      <c r="N40" s="1013">
        <f>tertiair!M20</f>
        <v>0</v>
      </c>
      <c r="O40" s="1013">
        <f ca="1">tertiair!N20</f>
        <v>0</v>
      </c>
      <c r="P40" s="1013">
        <f>tertiair!O20</f>
        <v>0</v>
      </c>
      <c r="Q40" s="774">
        <f>tertiair!P20</f>
        <v>0</v>
      </c>
      <c r="R40" s="850">
        <f t="shared" ca="1" si="4"/>
        <v>41323.162077538989</v>
      </c>
    </row>
    <row r="41" spans="1:18">
      <c r="A41" s="822" t="s">
        <v>225</v>
      </c>
      <c r="B41" s="829"/>
      <c r="C41" s="1013">
        <f ca="1">huishoudens!B12</f>
        <v>12872.473889263356</v>
      </c>
      <c r="D41" s="1013">
        <f ca="1">huishoudens!C12</f>
        <v>0</v>
      </c>
      <c r="E41" s="1013">
        <f>huishoudens!D12</f>
        <v>27772.179111231839</v>
      </c>
      <c r="F41" s="1013">
        <f>huishoudens!E12</f>
        <v>1448.1343762620643</v>
      </c>
      <c r="G41" s="1013">
        <f>huishoudens!F12</f>
        <v>14782.372179670101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56875.159556427359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14589.305792151579</v>
      </c>
      <c r="D43" s="1013">
        <f ca="1">industrie!C22</f>
        <v>0</v>
      </c>
      <c r="E43" s="1013">
        <f>industrie!D22</f>
        <v>3903.6591698430507</v>
      </c>
      <c r="F43" s="1013">
        <f>industrie!E22</f>
        <v>1325.5978972875828</v>
      </c>
      <c r="G43" s="1013">
        <f>industrie!F22</f>
        <v>5066.457184526068</v>
      </c>
      <c r="H43" s="1013">
        <f>industrie!G22</f>
        <v>0</v>
      </c>
      <c r="I43" s="1013">
        <f>industrie!H22</f>
        <v>0</v>
      </c>
      <c r="J43" s="1013">
        <f>industrie!I22</f>
        <v>0</v>
      </c>
      <c r="K43" s="1013">
        <f>industrie!J22</f>
        <v>75.928011496498684</v>
      </c>
      <c r="L43" s="1013">
        <f>industrie!K22</f>
        <v>0</v>
      </c>
      <c r="M43" s="1013">
        <f>industrie!L22</f>
        <v>0</v>
      </c>
      <c r="N43" s="1013">
        <f>industrie!M22</f>
        <v>0</v>
      </c>
      <c r="O43" s="1013">
        <f>industrie!N22</f>
        <v>0</v>
      </c>
      <c r="P43" s="1013">
        <f>industrie!O22</f>
        <v>0</v>
      </c>
      <c r="Q43" s="774">
        <f>industrie!P22</f>
        <v>0</v>
      </c>
      <c r="R43" s="849">
        <f t="shared" ca="1" si="4"/>
        <v>24960.94805530478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43742.181841048849</v>
      </c>
      <c r="D46" s="732">
        <f t="shared" ref="D46:Q46" ca="1" si="5">SUM(D39:D45)</f>
        <v>8.4025210084033635</v>
      </c>
      <c r="E46" s="732">
        <f t="shared" ca="1" si="5"/>
        <v>53039.044046271403</v>
      </c>
      <c r="F46" s="732">
        <f t="shared" si="5"/>
        <v>2952.3727494374052</v>
      </c>
      <c r="G46" s="732">
        <f t="shared" ca="1" si="5"/>
        <v>23341.273377270496</v>
      </c>
      <c r="H46" s="732">
        <f t="shared" si="5"/>
        <v>0</v>
      </c>
      <c r="I46" s="732">
        <f t="shared" si="5"/>
        <v>0</v>
      </c>
      <c r="J46" s="732">
        <f t="shared" si="5"/>
        <v>0</v>
      </c>
      <c r="K46" s="732">
        <f t="shared" si="5"/>
        <v>75.995154234562449</v>
      </c>
      <c r="L46" s="732">
        <f t="shared" si="5"/>
        <v>0</v>
      </c>
      <c r="M46" s="732">
        <f t="shared" ca="1" si="5"/>
        <v>0</v>
      </c>
      <c r="N46" s="732">
        <f t="shared" si="5"/>
        <v>0</v>
      </c>
      <c r="O46" s="732">
        <f t="shared" ca="1" si="5"/>
        <v>0</v>
      </c>
      <c r="P46" s="732">
        <f t="shared" si="5"/>
        <v>0</v>
      </c>
      <c r="Q46" s="732">
        <f t="shared" si="5"/>
        <v>0</v>
      </c>
      <c r="R46" s="732">
        <f ca="1">SUM(R39:R45)</f>
        <v>123159.26968927112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716.10842447573145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716.10842447573145</v>
      </c>
    </row>
    <row r="50" spans="1:18">
      <c r="A50" s="825" t="s">
        <v>307</v>
      </c>
      <c r="B50" s="835"/>
      <c r="C50" s="703">
        <f ca="1">transport!B18</f>
        <v>20.677196851181911</v>
      </c>
      <c r="D50" s="703">
        <f>transport!C18</f>
        <v>0</v>
      </c>
      <c r="E50" s="703">
        <f>transport!D18</f>
        <v>70.127948807833192</v>
      </c>
      <c r="F50" s="703">
        <f>transport!E18</f>
        <v>109.71488628365658</v>
      </c>
      <c r="G50" s="703">
        <f>transport!F18</f>
        <v>0</v>
      </c>
      <c r="H50" s="703">
        <f>transport!G18</f>
        <v>54355.234863928599</v>
      </c>
      <c r="I50" s="703">
        <f>transport!H18</f>
        <v>9825.5264337549488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64381.281329626217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20.677196851181911</v>
      </c>
      <c r="D52" s="732">
        <f t="shared" ref="D52:Q52" ca="1" si="6">SUM(D48:D51)</f>
        <v>0</v>
      </c>
      <c r="E52" s="732">
        <f t="shared" si="6"/>
        <v>70.127948807833192</v>
      </c>
      <c r="F52" s="732">
        <f t="shared" si="6"/>
        <v>109.71488628365658</v>
      </c>
      <c r="G52" s="732">
        <f t="shared" si="6"/>
        <v>0</v>
      </c>
      <c r="H52" s="732">
        <f t="shared" si="6"/>
        <v>55071.343288404329</v>
      </c>
      <c r="I52" s="732">
        <f t="shared" si="6"/>
        <v>9825.5264337549488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65097.389754101947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258.61393004687375</v>
      </c>
      <c r="D54" s="703">
        <f ca="1">+landbouw!C12</f>
        <v>0</v>
      </c>
      <c r="E54" s="703">
        <f>+landbouw!D12</f>
        <v>40.239356944588707</v>
      </c>
      <c r="F54" s="703">
        <f>+landbouw!E12</f>
        <v>8.3527429865655254</v>
      </c>
      <c r="G54" s="703">
        <f>+landbouw!F12</f>
        <v>1392.462272451578</v>
      </c>
      <c r="H54" s="703">
        <f>+landbouw!G12</f>
        <v>0</v>
      </c>
      <c r="I54" s="703">
        <f>+landbouw!H12</f>
        <v>0</v>
      </c>
      <c r="J54" s="703">
        <f>+landbouw!I12</f>
        <v>0</v>
      </c>
      <c r="K54" s="703">
        <f>+landbouw!J12</f>
        <v>64.204552090645279</v>
      </c>
      <c r="L54" s="703">
        <f>+landbouw!K12</f>
        <v>0</v>
      </c>
      <c r="M54" s="703">
        <f>+landbouw!L12</f>
        <v>0</v>
      </c>
      <c r="N54" s="703">
        <f>+landbouw!M12</f>
        <v>0</v>
      </c>
      <c r="O54" s="703">
        <f>+landbouw!N12</f>
        <v>0</v>
      </c>
      <c r="P54" s="703">
        <f>+landbouw!O12</f>
        <v>0</v>
      </c>
      <c r="Q54" s="704">
        <f>+landbouw!P12</f>
        <v>0</v>
      </c>
      <c r="R54" s="731">
        <f ca="1">SUM(C54:Q54)</f>
        <v>1763.8728545202512</v>
      </c>
    </row>
    <row r="55" spans="1:18" ht="15" thickBot="1">
      <c r="A55" s="825" t="s">
        <v>836</v>
      </c>
      <c r="B55" s="835"/>
      <c r="C55" s="703">
        <f ca="1">C25*'EF ele_warmte'!B12</f>
        <v>816.49062058407515</v>
      </c>
      <c r="D55" s="703"/>
      <c r="E55" s="703">
        <f>E25*EF_CO2_aardgas</f>
        <v>1316.7362478296366</v>
      </c>
      <c r="F55" s="703"/>
      <c r="G55" s="703"/>
      <c r="H55" s="703"/>
      <c r="I55" s="703"/>
      <c r="J55" s="703"/>
      <c r="K55" s="703"/>
      <c r="L55" s="703"/>
      <c r="M55" s="703"/>
      <c r="N55" s="703"/>
      <c r="O55" s="703"/>
      <c r="P55" s="703"/>
      <c r="Q55" s="704"/>
      <c r="R55" s="731">
        <f ca="1">SUM(C55:Q55)</f>
        <v>2133.2268684137116</v>
      </c>
    </row>
    <row r="56" spans="1:18" ht="15.75" thickBot="1">
      <c r="A56" s="823" t="s">
        <v>837</v>
      </c>
      <c r="B56" s="836"/>
      <c r="C56" s="732">
        <f ca="1">SUM(C54:C55)</f>
        <v>1075.1045506309488</v>
      </c>
      <c r="D56" s="732">
        <f t="shared" ref="D56:Q56" ca="1" si="7">SUM(D54:D55)</f>
        <v>0</v>
      </c>
      <c r="E56" s="732">
        <f t="shared" si="7"/>
        <v>1356.9756047742253</v>
      </c>
      <c r="F56" s="732">
        <f t="shared" si="7"/>
        <v>8.3527429865655254</v>
      </c>
      <c r="G56" s="732">
        <f t="shared" si="7"/>
        <v>1392.462272451578</v>
      </c>
      <c r="H56" s="732">
        <f t="shared" si="7"/>
        <v>0</v>
      </c>
      <c r="I56" s="732">
        <f t="shared" si="7"/>
        <v>0</v>
      </c>
      <c r="J56" s="732">
        <f t="shared" si="7"/>
        <v>0</v>
      </c>
      <c r="K56" s="732">
        <f t="shared" si="7"/>
        <v>64.204552090645279</v>
      </c>
      <c r="L56" s="732">
        <f t="shared" si="7"/>
        <v>0</v>
      </c>
      <c r="M56" s="732">
        <f t="shared" si="7"/>
        <v>0</v>
      </c>
      <c r="N56" s="732">
        <f t="shared" si="7"/>
        <v>0</v>
      </c>
      <c r="O56" s="732">
        <f t="shared" si="7"/>
        <v>0</v>
      </c>
      <c r="P56" s="732">
        <f t="shared" si="7"/>
        <v>0</v>
      </c>
      <c r="Q56" s="733">
        <f t="shared" si="7"/>
        <v>0</v>
      </c>
      <c r="R56" s="734">
        <f ca="1">SUM(R54:R55)</f>
        <v>3897.0997229339628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44837.963588530976</v>
      </c>
      <c r="D61" s="740">
        <f t="shared" ref="D61:Q61" ca="1" si="8">D46+D52+D56</f>
        <v>8.4025210084033635</v>
      </c>
      <c r="E61" s="740">
        <f t="shared" ca="1" si="8"/>
        <v>54466.147599853466</v>
      </c>
      <c r="F61" s="740">
        <f t="shared" si="8"/>
        <v>3070.4403787076271</v>
      </c>
      <c r="G61" s="740">
        <f t="shared" ca="1" si="8"/>
        <v>24733.735649722075</v>
      </c>
      <c r="H61" s="740">
        <f t="shared" si="8"/>
        <v>55071.343288404329</v>
      </c>
      <c r="I61" s="740">
        <f t="shared" si="8"/>
        <v>9825.5264337549488</v>
      </c>
      <c r="J61" s="740">
        <f t="shared" si="8"/>
        <v>0</v>
      </c>
      <c r="K61" s="740">
        <f t="shared" si="8"/>
        <v>140.19970632520773</v>
      </c>
      <c r="L61" s="740">
        <f t="shared" si="8"/>
        <v>0</v>
      </c>
      <c r="M61" s="740">
        <f t="shared" ca="1" si="8"/>
        <v>0</v>
      </c>
      <c r="N61" s="740">
        <f t="shared" si="8"/>
        <v>0</v>
      </c>
      <c r="O61" s="740">
        <f t="shared" ca="1" si="8"/>
        <v>0</v>
      </c>
      <c r="P61" s="740">
        <f t="shared" si="8"/>
        <v>0</v>
      </c>
      <c r="Q61" s="740">
        <f t="shared" si="8"/>
        <v>0</v>
      </c>
      <c r="R61" s="740">
        <f ca="1">R46+R52+R56</f>
        <v>192153.75916630702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0.20658242476426364</v>
      </c>
      <c r="D63" s="781">
        <f t="shared" ca="1" si="9"/>
        <v>0.23764705882352943</v>
      </c>
      <c r="E63" s="1024">
        <f t="shared" ca="1" si="9"/>
        <v>0.20200000000000004</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14161.51247664595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24.75</v>
      </c>
      <c r="D76" s="1034">
        <f>'lokale energieproductie'!C8</f>
        <v>29.117647058823533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14161.51247664595</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14161.51247664595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24.75</v>
      </c>
      <c r="C8" s="570">
        <f>B101</f>
        <v>29.117647058823533</v>
      </c>
      <c r="D8" s="1044"/>
      <c r="E8" s="1044">
        <f>E101</f>
        <v>0</v>
      </c>
      <c r="F8" s="1045"/>
      <c r="G8" s="571"/>
      <c r="H8" s="1044">
        <f>I101</f>
        <v>0</v>
      </c>
      <c r="I8" s="1044">
        <f>G101+F101</f>
        <v>0</v>
      </c>
      <c r="J8" s="1044">
        <f>H101+D101+C101</f>
        <v>0</v>
      </c>
      <c r="K8" s="1044"/>
      <c r="L8" s="1044"/>
      <c r="M8" s="1044"/>
      <c r="N8" s="572"/>
      <c r="O8" s="573">
        <f>C8*$C$12+D8*$D$12+E8*$E$12+F8*$F$12+G8*$G$12+H8*$H$12+I8*$I$12+J8*$J$12</f>
        <v>5.8817647058823539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14186.26247664595</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5.8817647058823539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35.357142857142861</v>
      </c>
      <c r="C17" s="595">
        <f>B102</f>
        <v>41.596638655462193</v>
      </c>
      <c r="D17" s="596"/>
      <c r="E17" s="596">
        <f>E102</f>
        <v>0</v>
      </c>
      <c r="F17" s="1050"/>
      <c r="G17" s="597"/>
      <c r="H17" s="595">
        <f>I102</f>
        <v>0</v>
      </c>
      <c r="I17" s="596">
        <f>G102+F102</f>
        <v>0</v>
      </c>
      <c r="J17" s="596">
        <f>H102+D102+C102</f>
        <v>0</v>
      </c>
      <c r="K17" s="596"/>
      <c r="L17" s="596"/>
      <c r="M17" s="596"/>
      <c r="N17" s="1051"/>
      <c r="O17" s="598">
        <f>C17*$C$22+E17*$E$22+H17*$H$22+I17*$I$22+J17*$J$22+D17*$D$22+F17*$F$22+G17*$G$22+K17*$K$22+L17*$L$22</f>
        <v>8.4025210084033635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13025</v>
      </c>
      <c r="C28" s="796">
        <v>2400</v>
      </c>
      <c r="D28" s="653" t="s">
        <v>881</v>
      </c>
      <c r="E28" s="652" t="s">
        <v>882</v>
      </c>
      <c r="F28" s="652" t="s">
        <v>883</v>
      </c>
      <c r="G28" s="652" t="s">
        <v>884</v>
      </c>
      <c r="H28" s="652" t="s">
        <v>885</v>
      </c>
      <c r="I28" s="652" t="s">
        <v>882</v>
      </c>
      <c r="J28" s="795">
        <v>41814</v>
      </c>
      <c r="K28" s="795">
        <v>41814</v>
      </c>
      <c r="L28" s="652" t="s">
        <v>886</v>
      </c>
      <c r="M28" s="652">
        <v>5.5</v>
      </c>
      <c r="N28" s="652">
        <v>24.75</v>
      </c>
      <c r="O28" s="652">
        <v>35.357142857142861</v>
      </c>
      <c r="P28" s="652">
        <v>70.714285714285722</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62311.563551219115</v>
      </c>
      <c r="C4" s="477">
        <f>huishoudens!C8</f>
        <v>0</v>
      </c>
      <c r="D4" s="477">
        <f>huishoudens!D8</f>
        <v>137486.035204118</v>
      </c>
      <c r="E4" s="477">
        <f>huishoudens!E8</f>
        <v>6379.4465914628381</v>
      </c>
      <c r="F4" s="477">
        <f>huishoudens!F8</f>
        <v>55364.689811498502</v>
      </c>
      <c r="G4" s="477">
        <f>huishoudens!G8</f>
        <v>0</v>
      </c>
      <c r="H4" s="477">
        <f>huishoudens!H8</f>
        <v>0</v>
      </c>
      <c r="I4" s="477">
        <f>huishoudens!I8</f>
        <v>0</v>
      </c>
      <c r="J4" s="477">
        <f>huishoudens!J8</f>
        <v>0</v>
      </c>
      <c r="K4" s="477">
        <f>huishoudens!K8</f>
        <v>0</v>
      </c>
      <c r="L4" s="477">
        <f>huishoudens!L8</f>
        <v>0</v>
      </c>
      <c r="M4" s="477">
        <f>huishoudens!M8</f>
        <v>0</v>
      </c>
      <c r="N4" s="477">
        <f>huishoudens!N8</f>
        <v>42901.860459181233</v>
      </c>
      <c r="O4" s="477">
        <f>huishoudens!O8</f>
        <v>837.94666666666683</v>
      </c>
      <c r="P4" s="478">
        <f>huishoudens!P8</f>
        <v>3031.6</v>
      </c>
      <c r="Q4" s="479">
        <f>SUM(B4:P4)</f>
        <v>308313.14228414634</v>
      </c>
    </row>
    <row r="5" spans="1:17">
      <c r="A5" s="476" t="s">
        <v>156</v>
      </c>
      <c r="B5" s="477">
        <f ca="1">tertiair!B16</f>
        <v>77368.394472615779</v>
      </c>
      <c r="C5" s="477">
        <f ca="1">tertiair!C16</f>
        <v>35.357142857142861</v>
      </c>
      <c r="D5" s="477">
        <f ca="1">tertiair!D16</f>
        <v>105758.44438216096</v>
      </c>
      <c r="E5" s="477">
        <f>tertiair!E16</f>
        <v>786.96244884474879</v>
      </c>
      <c r="F5" s="477">
        <f ca="1">tertiair!F16</f>
        <v>13080.314655709089</v>
      </c>
      <c r="G5" s="477">
        <f>tertiair!G16</f>
        <v>0</v>
      </c>
      <c r="H5" s="477">
        <f>tertiair!H16</f>
        <v>0</v>
      </c>
      <c r="I5" s="477">
        <f>tertiair!I16</f>
        <v>0</v>
      </c>
      <c r="J5" s="477">
        <f>tertiair!J16</f>
        <v>0.18966875159255939</v>
      </c>
      <c r="K5" s="477">
        <f>tertiair!K16</f>
        <v>0</v>
      </c>
      <c r="L5" s="477">
        <f ca="1">tertiair!L16</f>
        <v>0</v>
      </c>
      <c r="M5" s="477">
        <f>tertiair!M16</f>
        <v>0</v>
      </c>
      <c r="N5" s="477">
        <f ca="1">tertiair!N16</f>
        <v>7519.7284395574925</v>
      </c>
      <c r="O5" s="477">
        <f>tertiair!O16</f>
        <v>6.2533333333333339</v>
      </c>
      <c r="P5" s="478">
        <f>tertiair!P16</f>
        <v>38.133333333333333</v>
      </c>
      <c r="Q5" s="476">
        <f t="shared" ref="Q5:Q14" ca="1" si="0">SUM(B5:P5)</f>
        <v>204593.77787716343</v>
      </c>
    </row>
    <row r="6" spans="1:17">
      <c r="A6" s="476" t="s">
        <v>194</v>
      </c>
      <c r="B6" s="477">
        <f>'openbare verlichting'!B8</f>
        <v>1439.8689999999999</v>
      </c>
      <c r="C6" s="477"/>
      <c r="D6" s="477"/>
      <c r="E6" s="477"/>
      <c r="F6" s="477"/>
      <c r="G6" s="477"/>
      <c r="H6" s="477"/>
      <c r="I6" s="477"/>
      <c r="J6" s="477"/>
      <c r="K6" s="477"/>
      <c r="L6" s="477"/>
      <c r="M6" s="477"/>
      <c r="N6" s="477"/>
      <c r="O6" s="477"/>
      <c r="P6" s="478"/>
      <c r="Q6" s="476">
        <f t="shared" si="0"/>
        <v>1439.8689999999999</v>
      </c>
    </row>
    <row r="7" spans="1:17">
      <c r="A7" s="476" t="s">
        <v>112</v>
      </c>
      <c r="B7" s="477">
        <f>landbouw!B8</f>
        <v>1251.8680151130211</v>
      </c>
      <c r="C7" s="477">
        <f>landbouw!C8</f>
        <v>0</v>
      </c>
      <c r="D7" s="477">
        <f>landbouw!D8</f>
        <v>199.20473734944903</v>
      </c>
      <c r="E7" s="477">
        <f>landbouw!E8</f>
        <v>36.796224610420815</v>
      </c>
      <c r="F7" s="477">
        <f>landbouw!F8</f>
        <v>5215.2145035639624</v>
      </c>
      <c r="G7" s="477">
        <f>landbouw!G8</f>
        <v>0</v>
      </c>
      <c r="H7" s="477">
        <f>landbouw!H8</f>
        <v>0</v>
      </c>
      <c r="I7" s="477">
        <f>landbouw!I8</f>
        <v>0</v>
      </c>
      <c r="J7" s="477">
        <f>landbouw!J8</f>
        <v>181.36879121651208</v>
      </c>
      <c r="K7" s="477">
        <f>landbouw!K8</f>
        <v>0</v>
      </c>
      <c r="L7" s="477">
        <f>landbouw!L8</f>
        <v>0</v>
      </c>
      <c r="M7" s="477">
        <f>landbouw!M8</f>
        <v>0</v>
      </c>
      <c r="N7" s="477">
        <f>landbouw!N8</f>
        <v>0</v>
      </c>
      <c r="O7" s="477">
        <f>landbouw!O8</f>
        <v>0</v>
      </c>
      <c r="P7" s="478">
        <f>landbouw!P8</f>
        <v>0</v>
      </c>
      <c r="Q7" s="476">
        <f t="shared" si="0"/>
        <v>6884.4522718533653</v>
      </c>
    </row>
    <row r="8" spans="1:17">
      <c r="A8" s="476" t="s">
        <v>635</v>
      </c>
      <c r="B8" s="477">
        <f>industrie!B18</f>
        <v>70622.202294313276</v>
      </c>
      <c r="C8" s="477">
        <f>industrie!C18</f>
        <v>0</v>
      </c>
      <c r="D8" s="477">
        <f>industrie!D18</f>
        <v>19325.045395262627</v>
      </c>
      <c r="E8" s="477">
        <f>industrie!E18</f>
        <v>5839.6383140422149</v>
      </c>
      <c r="F8" s="477">
        <f>industrie!F18</f>
        <v>18975.49507313134</v>
      </c>
      <c r="G8" s="477">
        <f>industrie!G18</f>
        <v>0</v>
      </c>
      <c r="H8" s="477">
        <f>industrie!H18</f>
        <v>0</v>
      </c>
      <c r="I8" s="477">
        <f>industrie!I18</f>
        <v>0</v>
      </c>
      <c r="J8" s="477">
        <f>industrie!J18</f>
        <v>214.48590818219969</v>
      </c>
      <c r="K8" s="477">
        <f>industrie!K18</f>
        <v>0</v>
      </c>
      <c r="L8" s="477">
        <f>industrie!L18</f>
        <v>0</v>
      </c>
      <c r="M8" s="477">
        <f>industrie!M18</f>
        <v>0</v>
      </c>
      <c r="N8" s="477">
        <f>industrie!N18</f>
        <v>16688.272194145698</v>
      </c>
      <c r="O8" s="477">
        <f>industrie!O18</f>
        <v>0</v>
      </c>
      <c r="P8" s="478">
        <f>industrie!P18</f>
        <v>0</v>
      </c>
      <c r="Q8" s="476">
        <f t="shared" si="0"/>
        <v>131665.13917907735</v>
      </c>
    </row>
    <row r="9" spans="1:17" s="482" customFormat="1">
      <c r="A9" s="480" t="s">
        <v>561</v>
      </c>
      <c r="B9" s="481">
        <f>transport!B14</f>
        <v>100.09175211675037</v>
      </c>
      <c r="C9" s="481">
        <f>transport!C14</f>
        <v>0</v>
      </c>
      <c r="D9" s="481">
        <f>transport!D14</f>
        <v>347.16806340511482</v>
      </c>
      <c r="E9" s="481">
        <f>transport!E14</f>
        <v>483.32549023637262</v>
      </c>
      <c r="F9" s="481">
        <f>transport!F14</f>
        <v>0</v>
      </c>
      <c r="G9" s="481">
        <f>transport!G14</f>
        <v>203577.65866639925</v>
      </c>
      <c r="H9" s="481">
        <f>transport!H14</f>
        <v>39459.945517088148</v>
      </c>
      <c r="I9" s="481">
        <f>transport!I14</f>
        <v>0</v>
      </c>
      <c r="J9" s="481">
        <f>transport!J14</f>
        <v>0</v>
      </c>
      <c r="K9" s="481">
        <f>transport!K14</f>
        <v>0</v>
      </c>
      <c r="L9" s="481">
        <f>transport!L14</f>
        <v>0</v>
      </c>
      <c r="M9" s="481">
        <f>transport!M14</f>
        <v>13058.239486745229</v>
      </c>
      <c r="N9" s="481">
        <f>transport!N14</f>
        <v>0</v>
      </c>
      <c r="O9" s="481">
        <f>transport!O14</f>
        <v>0</v>
      </c>
      <c r="P9" s="481">
        <f>transport!P14</f>
        <v>0</v>
      </c>
      <c r="Q9" s="480">
        <f>SUM(B9:P9)</f>
        <v>257026.42897599086</v>
      </c>
    </row>
    <row r="10" spans="1:17">
      <c r="A10" s="476" t="s">
        <v>551</v>
      </c>
      <c r="B10" s="477">
        <f>transport!B54</f>
        <v>0</v>
      </c>
      <c r="C10" s="477">
        <f>transport!C54</f>
        <v>0</v>
      </c>
      <c r="D10" s="477">
        <f>transport!D54</f>
        <v>0</v>
      </c>
      <c r="E10" s="477">
        <f>transport!E54</f>
        <v>0</v>
      </c>
      <c r="F10" s="477">
        <f>transport!F54</f>
        <v>0</v>
      </c>
      <c r="G10" s="477">
        <f>transport!G54</f>
        <v>2682.0540242536758</v>
      </c>
      <c r="H10" s="477">
        <f>transport!H54</f>
        <v>0</v>
      </c>
      <c r="I10" s="477">
        <f>transport!I54</f>
        <v>0</v>
      </c>
      <c r="J10" s="477">
        <f>transport!J54</f>
        <v>0</v>
      </c>
      <c r="K10" s="477">
        <f>transport!K54</f>
        <v>0</v>
      </c>
      <c r="L10" s="477">
        <f>transport!L54</f>
        <v>0</v>
      </c>
      <c r="M10" s="477">
        <f>transport!M54</f>
        <v>152.32882844525119</v>
      </c>
      <c r="N10" s="477">
        <f>transport!N54</f>
        <v>0</v>
      </c>
      <c r="O10" s="477">
        <f>transport!O54</f>
        <v>0</v>
      </c>
      <c r="P10" s="478">
        <f>transport!P54</f>
        <v>0</v>
      </c>
      <c r="Q10" s="476">
        <f t="shared" si="0"/>
        <v>2834.3828526989269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3952.3721416078497</v>
      </c>
      <c r="C14" s="484"/>
      <c r="D14" s="484">
        <f>'SEAP template'!E25</f>
        <v>6518.4962763843396</v>
      </c>
      <c r="E14" s="484"/>
      <c r="F14" s="484"/>
      <c r="G14" s="484"/>
      <c r="H14" s="484"/>
      <c r="I14" s="484"/>
      <c r="J14" s="484"/>
      <c r="K14" s="484"/>
      <c r="L14" s="484"/>
      <c r="M14" s="484"/>
      <c r="N14" s="484"/>
      <c r="O14" s="484"/>
      <c r="P14" s="485"/>
      <c r="Q14" s="476">
        <f t="shared" si="0"/>
        <v>10470.868417992189</v>
      </c>
    </row>
    <row r="15" spans="1:17" s="486" customFormat="1">
      <c r="A15" s="1039" t="s">
        <v>555</v>
      </c>
      <c r="B15" s="987">
        <f ca="1">SUM(B4:B14)</f>
        <v>217046.36122698581</v>
      </c>
      <c r="C15" s="987">
        <f t="shared" ref="C15:Q15" ca="1" si="1">SUM(C4:C14)</f>
        <v>35.357142857142861</v>
      </c>
      <c r="D15" s="987">
        <f t="shared" ca="1" si="1"/>
        <v>269634.39405868045</v>
      </c>
      <c r="E15" s="987">
        <f t="shared" si="1"/>
        <v>13526.169069196596</v>
      </c>
      <c r="F15" s="987">
        <f t="shared" ca="1" si="1"/>
        <v>92635.714043902903</v>
      </c>
      <c r="G15" s="987">
        <f t="shared" si="1"/>
        <v>206259.71269065293</v>
      </c>
      <c r="H15" s="987">
        <f t="shared" si="1"/>
        <v>39459.945517088148</v>
      </c>
      <c r="I15" s="987">
        <f t="shared" si="1"/>
        <v>0</v>
      </c>
      <c r="J15" s="987">
        <f t="shared" si="1"/>
        <v>396.04436815030431</v>
      </c>
      <c r="K15" s="987">
        <f t="shared" si="1"/>
        <v>0</v>
      </c>
      <c r="L15" s="987">
        <f t="shared" ca="1" si="1"/>
        <v>0</v>
      </c>
      <c r="M15" s="987">
        <f t="shared" si="1"/>
        <v>13210.568315190481</v>
      </c>
      <c r="N15" s="987">
        <f t="shared" ca="1" si="1"/>
        <v>67109.861092884414</v>
      </c>
      <c r="O15" s="987">
        <f t="shared" si="1"/>
        <v>844.20000000000016</v>
      </c>
      <c r="P15" s="987">
        <f t="shared" si="1"/>
        <v>3069.7333333333331</v>
      </c>
      <c r="Q15" s="987">
        <f t="shared" ca="1" si="1"/>
        <v>923228.06085892231</v>
      </c>
    </row>
    <row r="17" spans="1:17">
      <c r="A17" s="487" t="s">
        <v>556</v>
      </c>
      <c r="B17" s="786">
        <f ca="1">huishoudens!B10</f>
        <v>0.20658242476426364</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12872.473889263356</v>
      </c>
      <c r="C22" s="477">
        <f t="shared" ref="C22:C32" ca="1" si="3">C4*$C$17</f>
        <v>0</v>
      </c>
      <c r="D22" s="477">
        <f t="shared" ref="D22:D32" si="4">D4*$D$17</f>
        <v>27772.179111231839</v>
      </c>
      <c r="E22" s="477">
        <f t="shared" ref="E22:E32" si="5">E4*$E$17</f>
        <v>1448.1343762620643</v>
      </c>
      <c r="F22" s="477">
        <f t="shared" ref="F22:F32" si="6">F4*$F$17</f>
        <v>14782.372179670101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56875.159556427359</v>
      </c>
    </row>
    <row r="23" spans="1:17">
      <c r="A23" s="476" t="s">
        <v>156</v>
      </c>
      <c r="B23" s="477">
        <f t="shared" ca="1" si="2"/>
        <v>15982.95053027102</v>
      </c>
      <c r="C23" s="477">
        <f t="shared" ca="1" si="3"/>
        <v>8.4025210084033635</v>
      </c>
      <c r="D23" s="477">
        <f t="shared" ca="1" si="4"/>
        <v>21363.205765196515</v>
      </c>
      <c r="E23" s="477">
        <f t="shared" si="5"/>
        <v>178.64047588775799</v>
      </c>
      <c r="F23" s="477">
        <f t="shared" ca="1" si="6"/>
        <v>3492.4440130743269</v>
      </c>
      <c r="G23" s="477">
        <f t="shared" si="7"/>
        <v>0</v>
      </c>
      <c r="H23" s="477">
        <f t="shared" si="8"/>
        <v>0</v>
      </c>
      <c r="I23" s="477">
        <f t="shared" si="9"/>
        <v>0</v>
      </c>
      <c r="J23" s="477">
        <f t="shared" si="10"/>
        <v>6.7142738063766014E-2</v>
      </c>
      <c r="K23" s="477">
        <f t="shared" si="11"/>
        <v>0</v>
      </c>
      <c r="L23" s="477">
        <f t="shared" ca="1" si="12"/>
        <v>0</v>
      </c>
      <c r="M23" s="477">
        <f t="shared" si="13"/>
        <v>0</v>
      </c>
      <c r="N23" s="477">
        <f t="shared" ca="1" si="14"/>
        <v>0</v>
      </c>
      <c r="O23" s="477">
        <f t="shared" si="15"/>
        <v>0</v>
      </c>
      <c r="P23" s="478">
        <f t="shared" si="16"/>
        <v>0</v>
      </c>
      <c r="Q23" s="476">
        <f t="shared" ref="Q23:Q32" ca="1" si="17">SUM(B23:P23)</f>
        <v>41025.710448176091</v>
      </c>
    </row>
    <row r="24" spans="1:17">
      <c r="A24" s="476" t="s">
        <v>194</v>
      </c>
      <c r="B24" s="477">
        <f t="shared" ca="1" si="2"/>
        <v>297.45162936289552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297.45162936289552</v>
      </c>
    </row>
    <row r="25" spans="1:17">
      <c r="A25" s="476" t="s">
        <v>112</v>
      </c>
      <c r="B25" s="477">
        <f t="shared" ca="1" si="2"/>
        <v>258.61393004687375</v>
      </c>
      <c r="C25" s="477">
        <f t="shared" ca="1" si="3"/>
        <v>0</v>
      </c>
      <c r="D25" s="477">
        <f t="shared" si="4"/>
        <v>40.239356944588707</v>
      </c>
      <c r="E25" s="477">
        <f t="shared" si="5"/>
        <v>8.3527429865655254</v>
      </c>
      <c r="F25" s="477">
        <f t="shared" si="6"/>
        <v>1392.462272451578</v>
      </c>
      <c r="G25" s="477">
        <f t="shared" si="7"/>
        <v>0</v>
      </c>
      <c r="H25" s="477">
        <f t="shared" si="8"/>
        <v>0</v>
      </c>
      <c r="I25" s="477">
        <f t="shared" si="9"/>
        <v>0</v>
      </c>
      <c r="J25" s="477">
        <f t="shared" si="10"/>
        <v>64.204552090645279</v>
      </c>
      <c r="K25" s="477">
        <f t="shared" si="11"/>
        <v>0</v>
      </c>
      <c r="L25" s="477">
        <f t="shared" si="12"/>
        <v>0</v>
      </c>
      <c r="M25" s="477">
        <f t="shared" si="13"/>
        <v>0</v>
      </c>
      <c r="N25" s="477">
        <f t="shared" si="14"/>
        <v>0</v>
      </c>
      <c r="O25" s="477">
        <f t="shared" si="15"/>
        <v>0</v>
      </c>
      <c r="P25" s="478">
        <f t="shared" si="16"/>
        <v>0</v>
      </c>
      <c r="Q25" s="476">
        <f t="shared" ca="1" si="17"/>
        <v>1763.8728545202512</v>
      </c>
    </row>
    <row r="26" spans="1:17">
      <c r="A26" s="476" t="s">
        <v>635</v>
      </c>
      <c r="B26" s="477">
        <f t="shared" ca="1" si="2"/>
        <v>14589.305792151579</v>
      </c>
      <c r="C26" s="477">
        <f t="shared" ca="1" si="3"/>
        <v>0</v>
      </c>
      <c r="D26" s="477">
        <f t="shared" si="4"/>
        <v>3903.6591698430507</v>
      </c>
      <c r="E26" s="477">
        <f t="shared" si="5"/>
        <v>1325.5978972875828</v>
      </c>
      <c r="F26" s="477">
        <f t="shared" si="6"/>
        <v>5066.457184526068</v>
      </c>
      <c r="G26" s="477">
        <f t="shared" si="7"/>
        <v>0</v>
      </c>
      <c r="H26" s="477">
        <f t="shared" si="8"/>
        <v>0</v>
      </c>
      <c r="I26" s="477">
        <f t="shared" si="9"/>
        <v>0</v>
      </c>
      <c r="J26" s="477">
        <f t="shared" si="10"/>
        <v>75.928011496498684</v>
      </c>
      <c r="K26" s="477">
        <f t="shared" si="11"/>
        <v>0</v>
      </c>
      <c r="L26" s="477">
        <f t="shared" si="12"/>
        <v>0</v>
      </c>
      <c r="M26" s="477">
        <f t="shared" si="13"/>
        <v>0</v>
      </c>
      <c r="N26" s="477">
        <f t="shared" si="14"/>
        <v>0</v>
      </c>
      <c r="O26" s="477">
        <f t="shared" si="15"/>
        <v>0</v>
      </c>
      <c r="P26" s="478">
        <f t="shared" si="16"/>
        <v>0</v>
      </c>
      <c r="Q26" s="476">
        <f t="shared" ca="1" si="17"/>
        <v>24960.94805530478</v>
      </c>
    </row>
    <row r="27" spans="1:17" s="482" customFormat="1">
      <c r="A27" s="480" t="s">
        <v>561</v>
      </c>
      <c r="B27" s="780">
        <f t="shared" ca="1" si="2"/>
        <v>20.677196851181911</v>
      </c>
      <c r="C27" s="481">
        <f t="shared" ca="1" si="3"/>
        <v>0</v>
      </c>
      <c r="D27" s="481">
        <f t="shared" si="4"/>
        <v>70.127948807833192</v>
      </c>
      <c r="E27" s="481">
        <f t="shared" si="5"/>
        <v>109.71488628365658</v>
      </c>
      <c r="F27" s="481">
        <f t="shared" si="6"/>
        <v>0</v>
      </c>
      <c r="G27" s="481">
        <f t="shared" si="7"/>
        <v>54355.234863928599</v>
      </c>
      <c r="H27" s="481">
        <f t="shared" si="8"/>
        <v>9825.5264337549488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64381.281329626217</v>
      </c>
    </row>
    <row r="28" spans="1:17">
      <c r="A28" s="476" t="s">
        <v>551</v>
      </c>
      <c r="B28" s="477">
        <f t="shared" ca="1" si="2"/>
        <v>0</v>
      </c>
      <c r="C28" s="477">
        <f t="shared" ca="1" si="3"/>
        <v>0</v>
      </c>
      <c r="D28" s="477">
        <f t="shared" si="4"/>
        <v>0</v>
      </c>
      <c r="E28" s="477">
        <f t="shared" si="5"/>
        <v>0</v>
      </c>
      <c r="F28" s="477">
        <f t="shared" si="6"/>
        <v>0</v>
      </c>
      <c r="G28" s="477">
        <f t="shared" si="7"/>
        <v>716.10842447573145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716.10842447573145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816.49062058407515</v>
      </c>
      <c r="C32" s="477">
        <f t="shared" ca="1" si="3"/>
        <v>0</v>
      </c>
      <c r="D32" s="477">
        <f t="shared" si="4"/>
        <v>1316.7362478296366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2133.2268684137116</v>
      </c>
    </row>
    <row r="33" spans="1:17" s="486" customFormat="1">
      <c r="A33" s="1039" t="s">
        <v>555</v>
      </c>
      <c r="B33" s="987">
        <f ca="1">SUM(B22:B32)</f>
        <v>44837.963588530984</v>
      </c>
      <c r="C33" s="987">
        <f t="shared" ref="C33:Q33" ca="1" si="18">SUM(C22:C32)</f>
        <v>8.4025210084033635</v>
      </c>
      <c r="D33" s="987">
        <f t="shared" ca="1" si="18"/>
        <v>54466.147599853466</v>
      </c>
      <c r="E33" s="987">
        <f t="shared" si="18"/>
        <v>3070.4403787076271</v>
      </c>
      <c r="F33" s="987">
        <f t="shared" ca="1" si="18"/>
        <v>24733.735649722075</v>
      </c>
      <c r="G33" s="987">
        <f t="shared" si="18"/>
        <v>55071.343288404329</v>
      </c>
      <c r="H33" s="987">
        <f t="shared" si="18"/>
        <v>9825.5264337549488</v>
      </c>
      <c r="I33" s="987">
        <f t="shared" si="18"/>
        <v>0</v>
      </c>
      <c r="J33" s="987">
        <f t="shared" si="18"/>
        <v>140.19970632520773</v>
      </c>
      <c r="K33" s="987">
        <f t="shared" si="18"/>
        <v>0</v>
      </c>
      <c r="L33" s="987">
        <f t="shared" ca="1" si="18"/>
        <v>0</v>
      </c>
      <c r="M33" s="987">
        <f t="shared" si="18"/>
        <v>0</v>
      </c>
      <c r="N33" s="987">
        <f t="shared" ca="1" si="18"/>
        <v>0</v>
      </c>
      <c r="O33" s="987">
        <f t="shared" si="18"/>
        <v>0</v>
      </c>
      <c r="P33" s="987">
        <f t="shared" si="18"/>
        <v>0</v>
      </c>
      <c r="Q33" s="987">
        <f t="shared" ca="1" si="18"/>
        <v>192153.75916630705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14161.51247664595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24.75</v>
      </c>
      <c r="D8" s="1056">
        <f>'SEAP template'!D76</f>
        <v>29.117647058823533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5.8817647058823539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14161.51247664595</v>
      </c>
      <c r="C10" s="1060">
        <f>SUM(C4:C9)</f>
        <v>24.75</v>
      </c>
      <c r="D10" s="1060">
        <f t="shared" ref="D10:H10" si="0">SUM(D8:D9)</f>
        <v>29.117647058823533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0.20658242476426364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35.357142857142861</v>
      </c>
      <c r="D17" s="1057">
        <f>'SEAP template'!D87</f>
        <v>41.596638655462193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8.4025210084033635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35.357142857142861</v>
      </c>
      <c r="D20" s="1060">
        <f t="shared" ref="D20:H20" si="2">SUM(D17:D19)</f>
        <v>41.596638655462193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8.4025210084033635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0.20658242476426364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2</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38.133333333333333</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2019-08-12T08:31:55Z</dcterms:modified>
</cp:coreProperties>
</file>