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F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88" i="14"/>
  <c r="D18" i="61" s="1"/>
  <c r="B17" i="18"/>
  <c r="B20" s="1"/>
  <c r="G12"/>
  <c r="F12"/>
  <c r="E12"/>
  <c r="D12"/>
  <c r="C12"/>
  <c r="K10"/>
  <c r="E77" i="14"/>
  <c r="E9" i="61" s="1"/>
  <c r="B8" i="18"/>
  <c r="B6"/>
  <c r="B5"/>
  <c r="B73" i="14" s="1"/>
  <c r="B5" i="61" s="1"/>
  <c r="B4" i="18"/>
  <c r="B72" i="14" s="1"/>
  <c r="B4" i="61" s="1"/>
  <c r="N6" i="17"/>
  <c r="B19" i="6"/>
  <c r="B18"/>
  <c r="B5"/>
  <c r="B6"/>
  <c r="C64" i="14" s="1"/>
  <c r="D14" i="48"/>
  <c r="B14"/>
  <c r="Q14" s="1"/>
  <c r="P7"/>
  <c r="P25" s="1"/>
  <c r="O7"/>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78" i="14" l="1"/>
  <c r="L8" i="61"/>
  <c r="L10" s="1"/>
  <c r="L20"/>
  <c r="G77" i="14"/>
  <c r="G9" i="61" s="1"/>
  <c r="G10" s="1"/>
  <c r="I77" i="14"/>
  <c r="I9" i="61" s="1"/>
  <c r="O9" i="18"/>
  <c r="G20" i="61"/>
  <c r="Q11" i="48"/>
  <c r="O25"/>
  <c r="O32"/>
  <c r="C98" i="18"/>
  <c r="F101" s="1"/>
  <c r="D13" i="15"/>
  <c r="O77" i="14"/>
  <c r="O9" i="61" s="1"/>
  <c r="O10" s="1"/>
  <c r="E88" i="14"/>
  <c r="O30" i="48"/>
  <c r="C13" i="15"/>
  <c r="K78" i="14"/>
  <c r="K8" i="61"/>
  <c r="K10" s="1"/>
  <c r="N78" i="14"/>
  <c r="N9" i="61"/>
  <c r="N10" s="1"/>
  <c r="L90" i="14"/>
  <c r="L18" i="61"/>
  <c r="H20"/>
  <c r="K20"/>
  <c r="K90" i="14"/>
  <c r="K22"/>
  <c r="Q52"/>
  <c r="O28" i="48"/>
  <c r="F6" i="17"/>
  <c r="I9" i="18"/>
  <c r="P27" i="48"/>
  <c r="B10" i="18"/>
  <c r="M77" i="14"/>
  <c r="M9" i="61" s="1"/>
  <c r="H9" i="18"/>
  <c r="L13" i="15"/>
  <c r="B13"/>
  <c r="H90" i="14"/>
  <c r="N13" i="15"/>
  <c r="F77" i="14"/>
  <c r="F9" i="61" s="1"/>
  <c r="H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E90" i="14"/>
  <c r="E18" i="61"/>
  <c r="E20" s="1"/>
  <c r="D101" i="18"/>
  <c r="J8" s="1"/>
  <c r="G78" i="14"/>
  <c r="C101" i="18"/>
  <c r="B101"/>
  <c r="C8" s="1"/>
  <c r="O8" s="1"/>
  <c r="O10" s="1"/>
  <c r="I101"/>
  <c r="H8" s="1"/>
  <c r="M76" i="14" s="1"/>
  <c r="E101" i="18"/>
  <c r="E8" s="1"/>
  <c r="G101"/>
  <c r="I8" s="1"/>
  <c r="B88" i="14"/>
  <c r="B18" i="61" s="1"/>
  <c r="B77" i="14"/>
  <c r="B9" i="61" s="1"/>
  <c r="Q77" i="14"/>
  <c r="P9" i="61" s="1"/>
  <c r="J17" i="18"/>
  <c r="H20"/>
  <c r="M87" i="14"/>
  <c r="H10" i="18"/>
  <c r="E20"/>
  <c r="F87" i="14"/>
  <c r="C77"/>
  <c r="C9" i="61" s="1"/>
  <c r="C20" i="18"/>
  <c r="D87" i="14"/>
  <c r="D17" i="61" s="1"/>
  <c r="D20" s="1"/>
  <c r="C10" i="18"/>
  <c r="C88" i="14"/>
  <c r="C18" i="61" s="1"/>
  <c r="F76" i="14"/>
  <c r="E10" i="18"/>
  <c r="I17"/>
  <c r="I10"/>
  <c r="I76" i="14"/>
  <c r="I8" i="61" s="1"/>
  <c r="I10" s="1"/>
  <c r="Q88" i="14"/>
  <c r="P18" i="61" s="1"/>
  <c r="AC15" i="5"/>
  <c r="M78" i="14" l="1"/>
  <c r="M8" i="61"/>
  <c r="M10" s="1"/>
  <c r="F78" i="14"/>
  <c r="F8" i="61"/>
  <c r="F10" s="1"/>
  <c r="F90" i="14"/>
  <c r="F17" i="61"/>
  <c r="F20" s="1"/>
  <c r="M90" i="14"/>
  <c r="M17" i="61"/>
  <c r="M20" s="1"/>
  <c r="D76" i="14"/>
  <c r="D8" i="61" s="1"/>
  <c r="D10" s="1"/>
  <c r="I78" i="14"/>
  <c r="J87"/>
  <c r="J20" i="18"/>
  <c r="I87" i="14"/>
  <c r="I17" i="61" s="1"/>
  <c r="I20" s="1"/>
  <c r="I20" i="18"/>
  <c r="O17"/>
  <c r="O20" s="1"/>
  <c r="Q87" i="14"/>
  <c r="D90"/>
  <c r="J10" i="18"/>
  <c r="J76" i="14"/>
  <c r="D5" i="13"/>
  <c r="Q90" i="14" l="1"/>
  <c r="B17" i="6" s="1"/>
  <c r="P17" i="61"/>
  <c r="P20" s="1"/>
  <c r="J78" i="14"/>
  <c r="J8" i="61"/>
  <c r="J10" s="1"/>
  <c r="J90" i="14"/>
  <c r="J17" i="61"/>
  <c r="J20" s="1"/>
  <c r="Q76" i="14"/>
  <c r="D78"/>
  <c r="I90"/>
  <c r="B87"/>
  <c r="C87"/>
  <c r="C76"/>
  <c r="B76"/>
  <c r="B26" i="17"/>
  <c r="B90" i="14" l="1"/>
  <c r="B17" i="61"/>
  <c r="B20" s="1"/>
  <c r="C90" i="14"/>
  <c r="C17" i="61"/>
  <c r="C20" s="1"/>
  <c r="C78" i="14"/>
  <c r="C8" i="61"/>
  <c r="C10" s="1"/>
  <c r="B78" i="14"/>
  <c r="B8" i="61"/>
  <c r="B10" s="1"/>
  <c r="Q78" i="14"/>
  <c r="B9" i="6" s="1"/>
  <c r="P8" i="61"/>
  <c r="P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5"/>
  <c r="I27"/>
  <c r="I31"/>
  <c r="I24"/>
  <c r="I28"/>
  <c r="I30"/>
  <c r="I22"/>
  <c r="I32"/>
  <c r="I26"/>
  <c r="D4"/>
  <c r="D22" s="1"/>
  <c r="E11" i="14"/>
  <c r="H29" i="48"/>
  <c r="H32"/>
  <c r="H28"/>
  <c r="H26"/>
  <c r="H24"/>
  <c r="H22"/>
  <c r="H25"/>
  <c r="H30"/>
  <c r="H23"/>
  <c r="C4"/>
  <c r="D11" i="14"/>
  <c r="G23" i="48"/>
  <c r="G32"/>
  <c r="G22"/>
  <c r="G30"/>
  <c r="G26"/>
  <c r="G29"/>
  <c r="G24"/>
  <c r="G25"/>
  <c r="C11" i="14"/>
  <c r="B4" i="48"/>
  <c r="F24"/>
  <c r="F29"/>
  <c r="F30"/>
  <c r="F32"/>
  <c r="F31"/>
  <c r="F27"/>
  <c r="F28"/>
  <c r="N30"/>
  <c r="N27"/>
  <c r="N31"/>
  <c r="N32"/>
  <c r="N24"/>
  <c r="N28"/>
  <c r="N29"/>
  <c r="C19" i="14"/>
  <c r="B10" i="48"/>
  <c r="E31"/>
  <c r="E30"/>
  <c r="E28"/>
  <c r="E32"/>
  <c r="E29"/>
  <c r="E24"/>
  <c r="M29"/>
  <c r="M25"/>
  <c r="M32"/>
  <c r="M22"/>
  <c r="M26"/>
  <c r="M24"/>
  <c r="M30"/>
  <c r="M23"/>
  <c r="K5"/>
  <c r="L10" i="14"/>
  <c r="L16" s="1"/>
  <c r="L27" s="1"/>
  <c r="D30" i="48"/>
  <c r="D28"/>
  <c r="D24"/>
  <c r="D29"/>
  <c r="D31"/>
  <c r="D32"/>
  <c r="L29"/>
  <c r="L32"/>
  <c r="L27"/>
  <c r="L22"/>
  <c r="L30"/>
  <c r="L28"/>
  <c r="L31"/>
  <c r="L24"/>
  <c r="Q10" i="14"/>
  <c r="P5" i="48"/>
  <c r="P23" s="1"/>
  <c r="K32"/>
  <c r="K27"/>
  <c r="K24"/>
  <c r="K31"/>
  <c r="K22"/>
  <c r="K25"/>
  <c r="K30"/>
  <c r="K26"/>
  <c r="K28"/>
  <c r="K29"/>
  <c r="C24" i="14"/>
  <c r="C26" s="1"/>
  <c r="B7" i="48"/>
  <c r="J30"/>
  <c r="J32"/>
  <c r="J31"/>
  <c r="J24"/>
  <c r="J29"/>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K23" i="48"/>
  <c r="K33" s="1"/>
  <c r="K15"/>
  <c r="O22"/>
  <c r="E9"/>
  <c r="E27" s="1"/>
  <c r="F20" i="14"/>
  <c r="F22" s="1"/>
  <c r="Q13"/>
  <c r="P8" i="48"/>
  <c r="P26" s="1"/>
  <c r="D9"/>
  <c r="D27" s="1"/>
  <c r="E20" i="14"/>
  <c r="E22" s="1"/>
  <c r="O5" i="48"/>
  <c r="O23" s="1"/>
  <c r="P10" i="14"/>
  <c r="B9" i="48"/>
  <c r="C20" i="14"/>
  <c r="C22" s="1"/>
  <c r="J7" i="48"/>
  <c r="J25" s="1"/>
  <c r="K24" i="14"/>
  <c r="K26" s="1"/>
  <c r="F4" i="48"/>
  <c r="F22" s="1"/>
  <c r="G11" i="14"/>
  <c r="I5" i="48"/>
  <c r="J10" i="14"/>
  <c r="J16" s="1"/>
  <c r="J27" s="1"/>
  <c r="J63" s="1"/>
  <c r="P22" i="48"/>
  <c r="P33" s="1"/>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N4"/>
  <c r="N22" s="1"/>
  <c r="O11" i="14"/>
  <c r="M10" i="48"/>
  <c r="M28" s="1"/>
  <c r="N19" i="14"/>
  <c r="I15" i="48"/>
  <c r="I23"/>
  <c r="I33" s="1"/>
  <c r="H19" i="14"/>
  <c r="G10" i="48"/>
  <c r="E7"/>
  <c r="E25" s="1"/>
  <c r="F24" i="14"/>
  <c r="F26" s="1"/>
  <c r="O8" i="48"/>
  <c r="O26" s="1"/>
  <c r="P13" i="14"/>
  <c r="M14" i="22"/>
  <c r="H14"/>
  <c r="O15" i="48"/>
  <c r="P46" i="14"/>
  <c r="P61" s="1"/>
  <c r="P63" s="1"/>
  <c r="P16"/>
  <c r="P27" s="1"/>
  <c r="O33" i="48"/>
  <c r="Q63" i="14"/>
  <c r="P15" i="48"/>
  <c r="I20" i="14"/>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R20" s="1"/>
  <c r="R22" s="1"/>
  <c r="R19"/>
  <c r="K10"/>
  <c r="J5" i="48"/>
  <c r="J23" s="1"/>
  <c r="G28"/>
  <c r="Q10"/>
  <c r="J22"/>
  <c r="E5"/>
  <c r="E23" s="1"/>
  <c r="F10" i="14"/>
  <c r="E22" i="48"/>
  <c r="Q4"/>
  <c r="Q7"/>
  <c r="M15"/>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E8" i="48"/>
  <c r="E26" s="1"/>
  <c r="E33" s="1"/>
  <c r="F13" i="14"/>
  <c r="F16" s="1"/>
  <c r="F27" s="1"/>
  <c r="F63" s="1"/>
  <c r="G27" i="48"/>
  <c r="G33" s="1"/>
  <c r="G15"/>
  <c r="H22" i="14"/>
  <c r="H27" s="1"/>
  <c r="E15" i="48"/>
  <c r="H63" i="14"/>
  <c r="N8" i="48"/>
  <c r="N26" s="1"/>
  <c r="O13" i="14"/>
  <c r="F8" i="48"/>
  <c r="G13" i="14"/>
  <c r="R13" s="1"/>
  <c r="E22" i="16"/>
  <c r="F43" i="14" s="1"/>
  <c r="F46" s="1"/>
  <c r="F61" s="1"/>
  <c r="F22" i="16"/>
  <c r="G43" i="14" s="1"/>
  <c r="N22" i="16"/>
  <c r="O43" i="14" s="1"/>
  <c r="J22" i="16"/>
  <c r="K43" i="14" s="1"/>
  <c r="K46" s="1"/>
  <c r="K61" s="1"/>
  <c r="J26" i="48" l="1"/>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<sst xmlns="http://schemas.openxmlformats.org/spreadsheetml/2006/main" count="2410" uniqueCount="892">
  <si>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</si>
  <si>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</si>
  <si>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</si>
  <si>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</si>
  <si>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</si>
  <si>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</si>
  <si>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</si>
  <si>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</si>
  <si>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</si>
  <si>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</si>
  <si>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</si>
  <si>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</si>
  <si>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</si>
  <si>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</si>
  <si>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</si>
  <si>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</si>
  <si>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</si>
  <si>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</si>
  <si>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</si>
  <si>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</si>
  <si>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</si>
  <si>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</si>
  <si>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</si>
  <si>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</si>
  <si>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</si>
  <si>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</si>
  <si>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</si>
  <si>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</si>
  <si>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</si>
  <si>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</si>
  <si>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</si>
  <si>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</si>
  <si>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</si>
  <si>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</si>
  <si>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</si>
  <si>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</si>
  <si>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</si>
  <si>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</si>
  <si>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</si>
  <si>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</si>
  <si>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</si>
  <si>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</si>
  <si>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</si>
  <si>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</si>
  <si>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</si>
  <si>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</si>
  <si>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</si>
  <si>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</si>
  <si>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</si>
  <si>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</si>
  <si>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</si>
  <si>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</si>
  <si>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</si>
  <si>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</si>
  <si>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</si>
  <si>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</si>
  <si>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</si>
  <si>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</si>
  <si>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</si>
  <si>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</si>
  <si>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</si>
  <si>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</si>
  <si>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</si>
  <si>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</si>
  <si>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</si>
  <si>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</si>
  <si>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</si>
  <si>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</si>
  <si>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</si>
  <si>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</si>
  <si>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</si>
  <si>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</si>
  <si>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</si>
  <si>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</si>
  <si>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</si>
  <si>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</si>
  <si>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</si>
  <si>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</si>
  <si>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</si>
  <si>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</si>
  <si>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</si>
  <si>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</si>
  <si>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</si>
  <si>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</si>
  <si>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</si>
  <si>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</si>
  <si>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</si>
  <si>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</si>
  <si>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</si>
  <si>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</si>
  <si>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</si>
  <si>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</si>
  <si>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</si>
  <si>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</si>
  <si>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</si>
  <si>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</si>
  <si>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</si>
  <si>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</si>
  <si>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</si>
  <si>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</si>
  <si>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</si>
  <si>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</si>
  <si>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</si>
  <si>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</si>
  <si>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</si>
  <si>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</si>
  <si>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</si>
  <si>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</si>
  <si>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</si>
  <si>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</si>
  <si>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</si>
  <si>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</si>
  <si>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</si>
  <si>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</si>
  <si>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</si>
  <si>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</si>
  <si>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</si>
  <si>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</si>
  <si>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</si>
  <si>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</si>
  <si>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</si>
  <si>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</si>
  <si>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</si>
  <si>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</si>
  <si>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</si>
  <si>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</si>
  <si>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</si>
  <si>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</si>
  <si>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</si>
  <si>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</si>
  <si>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</si>
  <si>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</si>
  <si>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</si>
  <si>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</si>
  <si>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</si>
  <si>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</si>
  <si>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</si>
  <si>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</si>
  <si>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</si>
  <si>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</si>
  <si>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</si>
  <si>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</si>
  <si>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</si>
  <si>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</si>
  <si>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</si>
  <si>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</si>
  <si>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</si>
  <si>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</si>
  <si>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</si>
  <si>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</si>
  <si>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</si>
  <si>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</si>
  <si>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</si>
  <si>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</si>
  <si>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</si>
  <si>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</si>
  <si>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</si>
  <si>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</si>
  <si>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</si>
  <si>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</si>
  <si>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</si>
  <si>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</si>
  <si>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</si>
  <si>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</si>
  <si>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</si>
  <si>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</si>
  <si>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</si>
  <si>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</si>
  <si>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</si>
  <si>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</si>
  <si>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</si>
  <si>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</si>
  <si>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</si>
  <si>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</si>
  <si>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</si>
  <si>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</si>
  <si>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</si>
  <si>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</si>
  <si>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</si>
  <si>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</si>
  <si>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</si>
  <si>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</si>
  <si>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</si>
  <si>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</si>
  <si>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</si>
  <si>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</si>
  <si>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</si>
  <si>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</si>
  <si>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</si>
  <si>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</si>
  <si>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</si>
  <si>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</si>
  <si>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</si>
  <si>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</si>
  <si>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</si>
  <si>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</si>
  <si>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</si>
  <si>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</si>
  <si>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</si>
  <si>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</si>
  <si>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</si>
  <si>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</si>
  <si>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</si>
  <si>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</si>
  <si>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</si>
  <si>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</si>
  <si>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</si>
  <si>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</si>
  <si>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</si>
  <si>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</si>
  <si>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</si>
  <si>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</si>
  <si>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</si>
  <si>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</si>
  <si>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</si>
  <si>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</si>
  <si>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</si>
  <si>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</si>
  <si>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</si>
  <si>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</si>
  <si>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</si>
  <si>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</si>
  <si>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</si>
  <si>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</si>
  <si>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</si>
  <si>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</si>
  <si>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</si>
  <si>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</si>
  <si>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</si>
  <si>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</si>
  <si>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</si>
  <si>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</si>
  <si>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</si>
  <si>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</si>
  <si>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</si>
  <si>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</si>
  <si>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</si>
  <si>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</si>
  <si>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</si>
  <si>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</si>
  <si>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</si>
  <si>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</si>
  <si>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</si>
  <si>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</si>
  <si>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</si>
  <si>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</si>
  <si>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</si>
  <si>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</si>
  <si>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</si>
  <si>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</si>
  <si>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</si>
  <si>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</si>
  <si>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</si>
  <si>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</si>
  <si>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</si>
  <si>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</si>
  <si>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</si>
  <si>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</si>
  <si>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</si>
  <si>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</si>
  <si>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</si>
  <si>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</si>
  <si>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</si>
  <si>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</si>
  <si>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</si>
  <si>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</si>
  <si>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</si>
  <si>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</si>
  <si>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</si>
  <si>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</si>
  <si>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</si>
  <si>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</si>
  <si>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</si>
  <si>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</si>
  <si>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</si>
  <si>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</si>
  <si>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</si>
  <si>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</si>
  <si>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</si>
  <si>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</si>
  <si>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</si>
  <si>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</si>
  <si>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</si>
  <si>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</si>
  <si>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</si>
  <si>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</si>
  <si>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</si>
  <si>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</si>
  <si>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</si>
  <si>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</si>
  <si>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</si>
  <si>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</si>
  <si>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</si>
  <si>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</si>
  <si>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</si>
  <si>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</si>
  <si>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</si>
  <si>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</si>
  <si>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</si>
  <si>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</si>
  <si>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</si>
  <si>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</si>
  <si>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</si>
  <si>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</si>
  <si>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</si>
  <si>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</si>
  <si>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</si>
  <si>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</si>
  <si>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</si>
  <si>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</si>
  <si>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</si>
  <si>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</si>
  <si>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</si>
  <si>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</si>
  <si>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</si>
  <si>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</si>
  <si>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</si>
  <si>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</si>
  <si>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</si>
  <si>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</si>
  <si>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</si>
  <si>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</si>
  <si>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</si>
  <si>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</si>
  <si>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</si>
  <si>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</si>
  <si>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</si>
  <si>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</si>
  <si>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</si>
  <si>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</si>
  <si>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</si>
  <si>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</si>
  <si>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</si>
  <si>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</si>
  <si>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</si>
  <si>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</si>
  <si>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</si>
  <si>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</si>
  <si>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</si>
  <si>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</si>
  <si>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</si>
  <si>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</si>
  <si>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</si>
  <si>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</si>
  <si>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</si>
  <si>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</si>
  <si>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</si>
  <si>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</si>
  <si>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</si>
  <si>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</si>
  <si>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</si>
  <si>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</si>
  <si>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</si>
  <si>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</si>
  <si>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</si>
  <si>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</si>
  <si>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</si>
  <si>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</si>
  <si>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</si>
  <si>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</si>
  <si>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</si>
  <si>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</si>
  <si>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</si>
  <si>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</si>
  <si>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</si>
  <si>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</si>
  <si>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</si>
  <si>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</si>
  <si>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</si>
  <si>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</si>
  <si>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</si>
  <si>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</si>
  <si>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</si>
  <si>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</si>
  <si>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</si>
  <si>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</si>
  <si>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</si>
  <si>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</si>
  <si>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</si>
  <si>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</si>
  <si>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</si>
  <si>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</si>
  <si>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</si>
  <si>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</si>
  <si>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</si>
  <si>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</si>
  <si>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</si>
  <si>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</si>
  <si>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</si>
  <si>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</si>
  <si>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</si>
  <si>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</si>
  <si>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</si>
  <si>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</si>
  <si>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</si>
  <si>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</si>
  <si>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</si>
  <si>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</si>
  <si>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</si>
  <si>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</si>
  <si>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</si>
  <si>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</si>
  <si>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</si>
  <si>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</si>
  <si>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</si>
  <si>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</si>
  <si>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</si>
  <si>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</si>
  <si>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</si>
  <si>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</si>
  <si>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</si>
  <si>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</si>
  <si>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</si>
  <si>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</si>
  <si>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</si>
  <si>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</si>
  <si>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</si>
  <si>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</si>
  <si>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</si>
  <si>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</si>
  <si>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</si>
  <si>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</si>
  <si>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</si>
  <si>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</si>
  <si>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</si>
  <si>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</si>
  <si>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</si>
  <si>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</si>
  <si>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</si>
  <si>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</si>
  <si>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</si>
  <si>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</si>
  <si>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</si>
  <si>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</si>
  <si>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</si>
  <si>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</si>
  <si>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</si>
  <si>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</si>
  <si>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</si>
  <si>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</si>
  <si>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</si>
  <si>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</si>
  <si>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</si>
  <si>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</si>
  <si>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</si>
  <si>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</si>
  <si>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</si>
  <si>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</si>
  <si>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</si>
  <si>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</si>
  <si>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</si>
  <si>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</si>
  <si>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</si>
  <si>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</si>
  <si>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</si>
  <si>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</si>
  <si>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</si>
  <si>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</si>
  <si>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</si>
  <si>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</si>
  <si>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</si>
  <si>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</si>
  <si>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</si>
  <si>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</si>
  <si>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</si>
  <si>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</si>
  <si>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</si>
  <si>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</si>
  <si>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</si>
  <si>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</si>
  <si>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</si>
  <si>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</si>
  <si>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</si>
  <si>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</si>
  <si>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</si>
  <si>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</si>
  <si>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</si>
  <si>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</si>
  <si>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</si>
  <si>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</si>
  <si>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</si>
  <si>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</si>
  <si>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</si>
  <si>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</si>
  <si>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</si>
  <si>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</si>
  <si>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</si>
  <si>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</si>
  <si>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</si>
  <si>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</si>
  <si>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</si>
  <si>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</si>
  <si>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</si>
  <si>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</si>
  <si>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</si>
  <si>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</si>
  <si>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</si>
  <si>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</si>
  <si>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</si>
  <si>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</si>
  <si>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</si>
  <si>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</si>
  <si>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</si>
  <si>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</si>
  <si>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</si>
  <si>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</si>
  <si>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</si>
  <si>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</si>
  <si>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</si>
  <si>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</si>
  <si>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</si>
  <si>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</si>
  <si>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</si>
  <si>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</si>
  <si>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</si>
  <si>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</si>
  <si>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</si>
  <si>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</si>
  <si>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</si>
  <si>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</si>
  <si>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</si>
  <si>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</si>
  <si>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</si>
  <si>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</si>
  <si>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</si>
  <si>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</si>
  <si>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</si>
  <si>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</si>
  <si>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</si>
  <si>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</si>
  <si>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</si>
  <si>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</si>
  <si>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</si>
  <si>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</si>
  <si>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</si>
  <si>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</si>
  <si>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</si>
  <si>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</si>
  <si>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</si>
  <si>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</si>
  <si>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</si>
  <si>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</si>
  <si>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</si>
  <si>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</si>
  <si>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</si>
  <si>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</si>
  <si>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</si>
  <si>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</si>
  <si>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</si>
  <si>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</si>
  <si>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</si>
  <si>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</si>
  <si>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</si>
  <si>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</si>
  <si>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</si>
  <si>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</si>
  <si>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</si>
  <si>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</si>
  <si>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</si>
  <si>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</si>
  <si>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</si>
  <si>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</si>
  <si>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</si>
  <si>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</si>
  <si>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</si>
  <si>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</si>
  <si>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</si>
  <si>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</si>
  <si>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</si>
  <si>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</si>
  <si>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</si>
  <si>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</si>
  <si>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</si>
  <si>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</si>
  <si>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</si>
  <si>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</si>
  <si>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</si>
  <si>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</si>
  <si>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</si>
  <si>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</si>
  <si>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</si>
  <si>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</si>
  <si>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</si>
  <si>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</si>
  <si>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</si>
  <si>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</si>
  <si>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</si>
  <si>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</si>
  <si>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</si>
  <si>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</si>
  <si>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</si>
  <si>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</si>
  <si>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</si>
  <si>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</si>
  <si>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</si>
  <si>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</si>
  <si>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</si>
  <si>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</si>
  <si>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</si>
  <si>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</si>
  <si>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</si>
  <si>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</si>
  <si>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</si>
  <si>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</si>
  <si>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</si>
  <si>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</si>
  <si>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</si>
  <si>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</si>
  <si>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</si>
  <si>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</si>
  <si>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</si>
  <si>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</si>
  <si>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</si>
  <si>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</si>
  <si>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</si>
  <si>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</si>
  <si>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</si>
  <si>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</si>
  <si>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</si>
  <si>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</si>
  <si>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</si>
  <si>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</si>
  <si>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</si>
  <si>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</si>
  <si>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</si>
  <si>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</si>
  <si>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</si>
  <si>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</si>
  <si>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</si>
  <si>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</si>
  <si>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</si>
  <si>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</si>
  <si>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</si>
  <si>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</si>
  <si>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</si>
  <si>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</si>
  <si>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</si>
  <si>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</si>
  <si>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</si>
  <si>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</si>
  <si>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</si>
  <si>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</si>
  <si>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</si>
  <si>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</si>
  <si>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</si>
  <si>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</si>
  <si>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</si>
  <si>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</si>
  <si>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</si>
  <si>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</si>
  <si>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</si>
  <si>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</si>
  <si>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</si>
  <si>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</si>
  <si>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</si>
  <si>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</si>
  <si>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</si>
  <si>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</si>
  <si>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</si>
  <si>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</si>
  <si>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</si>
  <si>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</si>
  <si>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</si>
  <si>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</si>
  <si>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</si>
  <si>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</si>
  <si>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</si>
  <si>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</si>
  <si>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</si>
  <si>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</si>
  <si>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</si>
  <si>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</si>
  <si>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</si>
  <si>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</si>
  <si>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</si>
  <si>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</si>
  <si>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</si>
  <si>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</si>
  <si>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</si>
  <si>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</si>
  <si>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</si>
  <si>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</si>
  <si>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</si>
  <si>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</si>
  <si>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</si>
  <si>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</si>
  <si>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</si>
  <si>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</si>
  <si>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</si>
  <si>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</si>
  <si>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</si>
  <si>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</si>
  <si>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</si>
  <si>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</si>
  <si>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</si>
  <si>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</si>
  <si>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</si>
  <si>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</si>
  <si>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</si>
  <si>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</si>
  <si>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</si>
  <si>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</si>
  <si>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</si>
  <si>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</si>
  <si>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</si>
  <si>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</si>
  <si>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</si>
  <si>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</si>
  <si>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</si>
  <si>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</si>
  <si>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</si>
  <si>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</si>
  <si>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</si>
  <si>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</si>
  <si>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</si>
  <si>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</si>
  <si>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</si>
  <si>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</si>
  <si>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</si>
  <si>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</si>
  <si>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</si>
  <si>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</si>
  <si>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</si>
  <si>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</si>
  <si>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</si>
  <si>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</si>
  <si>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</si>
  <si>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</si>
  <si>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</si>
  <si>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</si>
  <si>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</si>
  <si>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</si>
  <si>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</si>
  <si>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</si>
  <si>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</si>
  <si>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</si>
  <si>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</si>
  <si>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</si>
  <si>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</si>
  <si>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</si>
  <si>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</si>
  <si>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</si>
  <si>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</si>
  <si>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</si>
  <si>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</si>
  <si>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</si>
  <si>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</si>
  <si>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</si>
  <si>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</si>
  <si>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</si>
  <si>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</si>
  <si>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</si>
  <si>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</si>
  <si>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</si>
  <si>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</si>
  <si>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</si>
  <si>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</si>
  <si>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</si>
  <si>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</si>
  <si>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</si>
  <si>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</si>
  <si>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</si>
  <si>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</si>
  <si>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</si>
  <si>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</si>
  <si>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</si>
  <si>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</si>
  <si>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</si>
  <si>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</si>
  <si>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</si>
  <si>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</si>
  <si>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</si>
  <si>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</si>
  <si>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</si>
  <si>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</si>
  <si>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</si>
  <si>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</si>
  <si>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</si>
  <si>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</si>
  <si>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</si>
  <si>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</si>
  <si>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</si>
  <si>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</si>
  <si>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</si>
  <si>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</si>
  <si>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</si>
  <si>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</si>
  <si>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</si>
  <si>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</si>
  <si>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</si>
  <si>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</si>
  <si>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</si>
  <si>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</si>
  <si>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</si>
  <si>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</si>
  <si>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</si>
  <si>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</si>
  <si>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</si>
  <si>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</si>
  <si>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</si>
  <si>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</si>
  <si>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</si>
  <si>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</si>
  <si>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</si>
  <si>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</si>
  <si>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</si>
  <si>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</si>
  <si>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</si>
  <si>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</si>
  <si>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</si>
  <si>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</si>
  <si>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</si>
  <si>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</si>
  <si>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</si>
  <si>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</si>
  <si>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</si>
  <si>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</si>
  <si>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</si>
  <si>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</si>
  <si>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</si>
  <si>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</si>
  <si>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</si>
  <si>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</si>
  <si>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</si>
  <si>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</si>
  <si>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</si>
  <si>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</si>
  <si>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</si>
  <si>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</si>
  <si>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</si>
  <si>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</si>
  <si>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</si>
  <si>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</si>
  <si>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</si>
  <si>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</si>
  <si>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</si>
  <si>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</si>
  <si>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</si>
  <si>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</si>
  <si>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</si>
  <si>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</si>
  <si>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</si>
  <si>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</si>
  <si>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</si>
  <si>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</si>
  <si>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</si>
  <si>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</si>
  <si>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</si>
  <si>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</si>
  <si>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</si>
  <si>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</si>
  <si>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</si>
  <si>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</si>
  <si>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</si>
  <si>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</si>
  <si>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</si>
  <si>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</si>
  <si>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</si>
  <si>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</si>
  <si>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</si>
  <si>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</si>
  <si>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</si>
  <si>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</si>
  <si>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</si>
  <si>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</si>
  <si>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</si>
  <si>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</si>
  <si>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</si>
  <si>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</si>
  <si>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</si>
  <si>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</si>
  <si>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</si>
  <si>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</si>
  <si>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13021</t>
  </si>
  <si>
    <t>MEERHOUT</t>
  </si>
  <si>
    <t>Eandis (januari 2018); Infrax (juni 2018)</t>
  </si>
  <si>
    <t>MOW (september 2017)</t>
  </si>
  <si>
    <t>referentietaak LNE (2017); Jaarverslag De Lijn (2016)</t>
  </si>
  <si>
    <t>VEA (april 2018)</t>
  </si>
  <si>
    <t>VEA (januari 2017)</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</si>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</sst>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102247.85591420556</c:v>
                </c:pt>
                <c:pt idx="1">
                  <c:v>56645.312245880552</c:v>
                </c:pt>
                <c:pt idx="2">
                  <c:v>437.51</c:v>
                </c:pt>
                <c:pt idx="3">
                  <c:v>21406.040434798615</c:v>
                </c:pt>
                <c:pt idx="4">
                  <c:v>6522.1708779082746</c:v>
                </c:pt>
                <c:pt idx="5">
                  <c:v>89785.301909892354</c:v>
                </c:pt>
                <c:pt idx="6">
                  <c:v>632.22136371249326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102247.85591420556</c:v>
                </c:pt>
                <c:pt idx="1">
                  <c:v>56645.312245880552</c:v>
                </c:pt>
                <c:pt idx="2">
                  <c:v>437.51</c:v>
                </c:pt>
                <c:pt idx="3">
                  <c:v>21406.040434798615</c:v>
                </c:pt>
                <c:pt idx="4">
                  <c:v>6522.1708779082746</c:v>
                </c:pt>
                <c:pt idx="5">
                  <c:v>89785.301909892354</c:v>
                </c:pt>
                <c:pt idx="6">
                  <c:v>632.22136371249326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16339.303977683234</c:v>
                </c:pt>
                <c:pt idx="2">
                  <c:v>8052.3509241402435</c:v>
                </c:pt>
                <c:pt idx="3">
                  <c:v>42.964052182934068</c:v>
                </c:pt>
                <c:pt idx="4">
                  <c:v>2116.7112608168081</c:v>
                </c:pt>
                <c:pt idx="5">
                  <c:v>934.33135756920728</c:v>
                </c:pt>
                <c:pt idx="6">
                  <c:v>22478.173103956571</c:v>
                </c:pt>
                <c:pt idx="7">
                  <c:v>159.73108370203036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16339.303977683234</c:v>
                </c:pt>
                <c:pt idx="2">
                  <c:v>8052.3509241402435</c:v>
                </c:pt>
                <c:pt idx="3">
                  <c:v>42.964052182934068</c:v>
                </c:pt>
                <c:pt idx="4">
                  <c:v>2116.7112608168081</c:v>
                </c:pt>
                <c:pt idx="5">
                  <c:v>934.33135756920728</c:v>
                </c:pt>
                <c:pt idx="6">
                  <c:v>22478.173103956571</c:v>
                </c:pt>
                <c:pt idx="7">
                  <c:v>159.73108370203036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9.8201303245489396E-2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9.8201303245489396E-2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4245</v>
      </c>
      <c r="C9" s="342">
        <v>4393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1747.94</v>
      </c>
    </row>
    <row r="15" spans="1:6">
      <c r="A15" s="348" t="s">
        <v>184</v>
      </c>
      <c r="B15" s="334">
        <v>902</v>
      </c>
    </row>
    <row r="16" spans="1:6">
      <c r="A16" s="348" t="s">
        <v>6</v>
      </c>
      <c r="B16" s="334">
        <v>2768</v>
      </c>
    </row>
    <row r="17" spans="1:6">
      <c r="A17" s="348" t="s">
        <v>7</v>
      </c>
      <c r="B17" s="334">
        <v>82</v>
      </c>
    </row>
    <row r="18" spans="1:6">
      <c r="A18" s="348" t="s">
        <v>8</v>
      </c>
      <c r="B18" s="334">
        <v>1279</v>
      </c>
    </row>
    <row r="19" spans="1:6">
      <c r="A19" s="348" t="s">
        <v>9</v>
      </c>
      <c r="B19" s="334">
        <v>838</v>
      </c>
    </row>
    <row r="20" spans="1:6">
      <c r="A20" s="348" t="s">
        <v>10</v>
      </c>
      <c r="B20" s="334">
        <v>746</v>
      </c>
    </row>
    <row r="21" spans="1:6">
      <c r="A21" s="348" t="s">
        <v>11</v>
      </c>
      <c r="B21" s="334">
        <v>0</v>
      </c>
    </row>
    <row r="22" spans="1:6">
      <c r="A22" s="348" t="s">
        <v>12</v>
      </c>
      <c r="B22" s="334">
        <v>1031</v>
      </c>
    </row>
    <row r="23" spans="1:6">
      <c r="A23" s="348" t="s">
        <v>13</v>
      </c>
      <c r="B23" s="334">
        <v>0</v>
      </c>
    </row>
    <row r="24" spans="1:6">
      <c r="A24" s="348" t="s">
        <v>14</v>
      </c>
      <c r="B24" s="334">
        <v>0</v>
      </c>
    </row>
    <row r="25" spans="1:6">
      <c r="A25" s="348" t="s">
        <v>15</v>
      </c>
      <c r="B25" s="334">
        <v>0</v>
      </c>
    </row>
    <row r="26" spans="1:6">
      <c r="A26" s="348" t="s">
        <v>16</v>
      </c>
      <c r="B26" s="334">
        <v>385</v>
      </c>
    </row>
    <row r="27" spans="1:6">
      <c r="A27" s="348" t="s">
        <v>17</v>
      </c>
      <c r="B27" s="334">
        <v>6</v>
      </c>
    </row>
    <row r="28" spans="1:6" s="356" customFormat="1">
      <c r="A28" s="355" t="s">
        <v>18</v>
      </c>
      <c r="B28" s="355">
        <v>77297</v>
      </c>
    </row>
    <row r="29" spans="1:6">
      <c r="A29" s="355" t="s">
        <v>744</v>
      </c>
      <c r="B29" s="355">
        <v>143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173255.35117329299</v>
      </c>
      <c r="E38" s="334">
        <v>3</v>
      </c>
      <c r="F38" s="334">
        <v>62918.752796180001</v>
      </c>
    </row>
    <row r="39" spans="1:6">
      <c r="A39" s="348" t="s">
        <v>30</v>
      </c>
      <c r="B39" s="348" t="s">
        <v>31</v>
      </c>
      <c r="C39" s="334">
        <v>2233</v>
      </c>
      <c r="D39" s="334">
        <v>35883354.581669502</v>
      </c>
      <c r="E39" s="334">
        <v>4166</v>
      </c>
      <c r="F39" s="334">
        <v>13625016.3118704</v>
      </c>
    </row>
    <row r="40" spans="1:6">
      <c r="A40" s="348" t="s">
        <v>30</v>
      </c>
      <c r="B40" s="348" t="s">
        <v>29</v>
      </c>
      <c r="C40" s="334">
        <v>0</v>
      </c>
      <c r="D40" s="334">
        <v>0</v>
      </c>
      <c r="E40" s="334">
        <v>0</v>
      </c>
      <c r="F40" s="334">
        <v>0</v>
      </c>
    </row>
    <row r="41" spans="1:6">
      <c r="A41" s="348" t="s">
        <v>32</v>
      </c>
      <c r="B41" s="348" t="s">
        <v>33</v>
      </c>
      <c r="C41" s="334">
        <v>27</v>
      </c>
      <c r="D41" s="334">
        <v>658701.98986545496</v>
      </c>
      <c r="E41" s="334">
        <v>75</v>
      </c>
      <c r="F41" s="334">
        <v>647669.99954237603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31265.207070955799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1047848.52590266</v>
      </c>
      <c r="E48" s="334">
        <v>28</v>
      </c>
      <c r="F48" s="334">
        <v>2140004.83167574</v>
      </c>
    </row>
    <row r="49" spans="1:6">
      <c r="A49" s="348" t="s">
        <v>32</v>
      </c>
      <c r="B49" s="348" t="s">
        <v>40</v>
      </c>
      <c r="C49" s="334">
        <v>0</v>
      </c>
      <c r="D49" s="334">
        <v>0</v>
      </c>
      <c r="E49" s="334">
        <v>0</v>
      </c>
      <c r="F49" s="334">
        <v>0</v>
      </c>
    </row>
    <row r="50" spans="1:6">
      <c r="A50" s="348" t="s">
        <v>32</v>
      </c>
      <c r="B50" s="348" t="s">
        <v>41</v>
      </c>
      <c r="C50" s="334">
        <v>0</v>
      </c>
      <c r="D50" s="334">
        <v>0</v>
      </c>
      <c r="E50" s="334">
        <v>5</v>
      </c>
      <c r="F50" s="334">
        <v>182203.40170689599</v>
      </c>
    </row>
    <row r="51" spans="1:6">
      <c r="A51" s="348" t="s">
        <v>42</v>
      </c>
      <c r="B51" s="348" t="s">
        <v>43</v>
      </c>
      <c r="C51" s="334">
        <v>0</v>
      </c>
      <c r="D51" s="334">
        <v>0</v>
      </c>
      <c r="E51" s="334">
        <v>48</v>
      </c>
      <c r="F51" s="334">
        <v>1539537.46857836</v>
      </c>
    </row>
    <row r="52" spans="1:6">
      <c r="A52" s="348" t="s">
        <v>42</v>
      </c>
      <c r="B52" s="348" t="s">
        <v>29</v>
      </c>
      <c r="C52" s="334">
        <v>7</v>
      </c>
      <c r="D52" s="334">
        <v>106078.67726111101</v>
      </c>
      <c r="E52" s="334">
        <v>9</v>
      </c>
      <c r="F52" s="334">
        <v>113939.908912111</v>
      </c>
    </row>
    <row r="53" spans="1:6">
      <c r="A53" s="348" t="s">
        <v>44</v>
      </c>
      <c r="B53" s="348" t="s">
        <v>45</v>
      </c>
      <c r="C53" s="334">
        <v>41</v>
      </c>
      <c r="D53" s="334">
        <v>1213673.25451985</v>
      </c>
      <c r="E53" s="334">
        <v>155</v>
      </c>
      <c r="F53" s="334">
        <v>481502.63725214603</v>
      </c>
    </row>
    <row r="54" spans="1:6">
      <c r="A54" s="348" t="s">
        <v>46</v>
      </c>
      <c r="B54" s="348" t="s">
        <v>47</v>
      </c>
      <c r="C54" s="334">
        <v>0</v>
      </c>
      <c r="D54" s="334">
        <v>0</v>
      </c>
      <c r="E54" s="334">
        <v>1</v>
      </c>
      <c r="F54" s="334">
        <v>437510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289567.976000725</v>
      </c>
      <c r="E57" s="334">
        <v>45</v>
      </c>
      <c r="F57" s="334">
        <v>460454.99044159701</v>
      </c>
    </row>
    <row r="58" spans="1:6">
      <c r="A58" s="348" t="s">
        <v>49</v>
      </c>
      <c r="B58" s="348" t="s">
        <v>51</v>
      </c>
      <c r="C58" s="334">
        <v>4</v>
      </c>
      <c r="D58" s="334">
        <v>122492.23315560901</v>
      </c>
      <c r="E58" s="334">
        <v>12</v>
      </c>
      <c r="F58" s="334">
        <v>47033.926250502402</v>
      </c>
    </row>
    <row r="59" spans="1:6">
      <c r="A59" s="348" t="s">
        <v>49</v>
      </c>
      <c r="B59" s="348" t="s">
        <v>52</v>
      </c>
      <c r="C59" s="334">
        <v>30</v>
      </c>
      <c r="D59" s="334">
        <v>991855.01202351402</v>
      </c>
      <c r="E59" s="334">
        <v>87</v>
      </c>
      <c r="F59" s="334">
        <v>2395765.1001072</v>
      </c>
    </row>
    <row r="60" spans="1:6">
      <c r="A60" s="348" t="s">
        <v>49</v>
      </c>
      <c r="B60" s="348" t="s">
        <v>53</v>
      </c>
      <c r="C60" s="334">
        <v>31</v>
      </c>
      <c r="D60" s="334">
        <v>1330820.7717220499</v>
      </c>
      <c r="E60" s="334">
        <v>53</v>
      </c>
      <c r="F60" s="334">
        <v>1027006.63728324</v>
      </c>
    </row>
    <row r="61" spans="1:6">
      <c r="A61" s="348" t="s">
        <v>49</v>
      </c>
      <c r="B61" s="348" t="s">
        <v>54</v>
      </c>
      <c r="C61" s="334">
        <v>55</v>
      </c>
      <c r="D61" s="334">
        <v>3324026.4320838</v>
      </c>
      <c r="E61" s="334">
        <v>142</v>
      </c>
      <c r="F61" s="334">
        <v>3155918.51404871</v>
      </c>
    </row>
    <row r="62" spans="1:6">
      <c r="A62" s="348" t="s">
        <v>49</v>
      </c>
      <c r="B62" s="348" t="s">
        <v>55</v>
      </c>
      <c r="C62" s="334">
        <v>5</v>
      </c>
      <c r="D62" s="334">
        <v>230988.031815594</v>
      </c>
      <c r="E62" s="334">
        <v>4</v>
      </c>
      <c r="F62" s="334">
        <v>55160.476065708099</v>
      </c>
    </row>
    <row r="63" spans="1:6">
      <c r="A63" s="348" t="s">
        <v>49</v>
      </c>
      <c r="B63" s="348" t="s">
        <v>29</v>
      </c>
      <c r="C63" s="334">
        <v>67</v>
      </c>
      <c r="D63" s="334">
        <v>13026934.3758361</v>
      </c>
      <c r="E63" s="334">
        <v>97</v>
      </c>
      <c r="F63" s="334">
        <v>23689691.148472801</v>
      </c>
    </row>
    <row r="64" spans="1:6">
      <c r="A64" s="348" t="s">
        <v>56</v>
      </c>
      <c r="B64" s="348" t="s">
        <v>57</v>
      </c>
      <c r="C64" s="334">
        <v>0</v>
      </c>
      <c r="D64" s="334">
        <v>0</v>
      </c>
      <c r="E64" s="334">
        <v>0</v>
      </c>
      <c r="F64" s="334">
        <v>0</v>
      </c>
    </row>
    <row r="65" spans="1:6">
      <c r="A65" s="348" t="s">
        <v>56</v>
      </c>
      <c r="B65" s="348" t="s">
        <v>29</v>
      </c>
      <c r="C65" s="334">
        <v>3</v>
      </c>
      <c r="D65" s="334">
        <v>86419.829879186902</v>
      </c>
      <c r="E65" s="334">
        <v>2</v>
      </c>
      <c r="F65" s="334">
        <v>10689.799612622701</v>
      </c>
    </row>
    <row r="66" spans="1:6">
      <c r="A66" s="348" t="s">
        <v>56</v>
      </c>
      <c r="B66" s="348" t="s">
        <v>58</v>
      </c>
      <c r="C66" s="334">
        <v>0</v>
      </c>
      <c r="D66" s="334">
        <v>0</v>
      </c>
      <c r="E66" s="334">
        <v>8</v>
      </c>
      <c r="F66" s="334">
        <v>92384.293051970599</v>
      </c>
    </row>
    <row r="67" spans="1:6">
      <c r="A67" s="355" t="s">
        <v>56</v>
      </c>
      <c r="B67" s="355" t="s">
        <v>59</v>
      </c>
      <c r="C67" s="334">
        <v>0</v>
      </c>
      <c r="D67" s="334">
        <v>0</v>
      </c>
      <c r="E67" s="334">
        <v>0</v>
      </c>
      <c r="F67" s="334">
        <v>0</v>
      </c>
    </row>
    <row r="68" spans="1:6">
      <c r="A68" s="341" t="s">
        <v>56</v>
      </c>
      <c r="B68" s="341" t="s">
        <v>60</v>
      </c>
      <c r="C68" s="334">
        <v>0</v>
      </c>
      <c r="D68" s="334">
        <v>0</v>
      </c>
      <c r="E68" s="334">
        <v>7</v>
      </c>
      <c r="F68" s="334">
        <v>45643.275209277599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57038601</v>
      </c>
      <c r="E73" s="475">
        <v>59953451.974507272</v>
      </c>
    </row>
    <row r="74" spans="1:6">
      <c r="A74" s="348" t="s">
        <v>64</v>
      </c>
      <c r="B74" s="348" t="s">
        <v>657</v>
      </c>
      <c r="C74" s="1295" t="s">
        <v>659</v>
      </c>
      <c r="D74" s="475">
        <v>2051069.5</v>
      </c>
      <c r="E74" s="475">
        <v>2141529.480655848</v>
      </c>
    </row>
    <row r="75" spans="1:6">
      <c r="A75" s="348" t="s">
        <v>65</v>
      </c>
      <c r="B75" s="348" t="s">
        <v>656</v>
      </c>
      <c r="C75" s="1295" t="s">
        <v>660</v>
      </c>
      <c r="D75" s="475">
        <v>8582201</v>
      </c>
      <c r="E75" s="475">
        <v>9056888.2576400284</v>
      </c>
    </row>
    <row r="76" spans="1:6">
      <c r="A76" s="348" t="s">
        <v>65</v>
      </c>
      <c r="B76" s="348" t="s">
        <v>657</v>
      </c>
      <c r="C76" s="1295" t="s">
        <v>661</v>
      </c>
      <c r="D76" s="475">
        <v>689428.5</v>
      </c>
      <c r="E76" s="475">
        <v>725011.42172522785</v>
      </c>
    </row>
    <row r="77" spans="1:6">
      <c r="A77" s="348" t="s">
        <v>66</v>
      </c>
      <c r="B77" s="348" t="s">
        <v>656</v>
      </c>
      <c r="C77" s="1295" t="s">
        <v>662</v>
      </c>
      <c r="D77" s="475">
        <v>32576207</v>
      </c>
      <c r="E77" s="475">
        <v>34489560.665670589</v>
      </c>
    </row>
    <row r="78" spans="1:6">
      <c r="A78" s="341" t="s">
        <v>66</v>
      </c>
      <c r="B78" s="341" t="s">
        <v>657</v>
      </c>
      <c r="C78" s="341" t="s">
        <v>663</v>
      </c>
      <c r="D78" s="1296">
        <v>7163253</v>
      </c>
      <c r="E78" s="1296">
        <v>7506235.7742999205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171469</v>
      </c>
      <c r="C83" s="475">
        <v>172223.61715852589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15502.033127291692</v>
      </c>
    </row>
    <row r="91" spans="1:6">
      <c r="A91" s="348" t="s">
        <v>68</v>
      </c>
      <c r="B91" s="334">
        <v>3394.3573510551173</v>
      </c>
    </row>
    <row r="92" spans="1:6">
      <c r="A92" s="341" t="s">
        <v>69</v>
      </c>
      <c r="B92" s="342">
        <v>2073.8528281367708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53462.668939047369</v>
      </c>
      <c r="C3" s="43" t="s">
        <v>170</v>
      </c>
      <c r="D3" s="43"/>
      <c r="E3" s="154"/>
      <c r="F3" s="43"/>
      <c r="G3" s="43"/>
      <c r="H3" s="43"/>
      <c r="I3" s="43"/>
      <c r="J3" s="43"/>
      <c r="K3" s="96"/>
    </row>
    <row r="4" spans="1:11">
      <c r="A4" s="383" t="s">
        <v>171</v>
      </c>
      <c r="B4" s="49">
        <f>IF(ISERROR('SEAP template'!B78+'SEAP template'!C78),0,'SEAP template'!B78+'SEAP template'!C78)</f>
        <v>29706.543306483578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9.8201303245489396E-2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12480.428571428572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437.51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437.51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9.8201303245489396E-2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42.964052182934068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13625.0163118704</v>
      </c>
      <c r="C5" s="17">
        <f>IF(ISERROR('Eigen informatie GS &amp; warmtenet'!B57),0,'Eigen informatie GS &amp; warmtenet'!B57)</f>
        <v>0</v>
      </c>
      <c r="D5" s="30">
        <f>(SUM(HH_hh_gas_kWh,HH_rest_gas_kWh)/1000)*0.902</f>
        <v>32366.785832665893</v>
      </c>
      <c r="E5" s="17">
        <f>B46*B57</f>
        <v>3615.1337761303053</v>
      </c>
      <c r="F5" s="17">
        <f>B51*B62</f>
        <v>27001.482967077973</v>
      </c>
      <c r="G5" s="18"/>
      <c r="H5" s="17"/>
      <c r="I5" s="17"/>
      <c r="J5" s="17">
        <f>B50*B61+C50*C61</f>
        <v>282.08261574033872</v>
      </c>
      <c r="K5" s="17"/>
      <c r="L5" s="17"/>
      <c r="M5" s="17"/>
      <c r="N5" s="17">
        <f>B48*B59+C48*C59</f>
        <v>21016.777059665543</v>
      </c>
      <c r="O5" s="17">
        <f>B69*B70*B71</f>
        <v>240.75333333333336</v>
      </c>
      <c r="P5" s="17">
        <f>B77*B78*B79/1000-B77*B78*B79/1000/B80</f>
        <v>705.4666666666667</v>
      </c>
    </row>
    <row r="6" spans="1:16">
      <c r="A6" s="16" t="s">
        <v>621</v>
      </c>
      <c r="B6" s="788">
        <f>kWh_PV_kleiner_dan_10kW</f>
        <v>3394.3573510551173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17019.373662925518</v>
      </c>
      <c r="C8" s="21">
        <f>C5</f>
        <v>0</v>
      </c>
      <c r="D8" s="21">
        <f>D5</f>
        <v>32366.785832665893</v>
      </c>
      <c r="E8" s="21">
        <f>E5</f>
        <v>3615.1337761303053</v>
      </c>
      <c r="F8" s="21">
        <f>F5</f>
        <v>27001.482967077973</v>
      </c>
      <c r="G8" s="21"/>
      <c r="H8" s="21"/>
      <c r="I8" s="21"/>
      <c r="J8" s="21">
        <f>J5</f>
        <v>282.08261574033872</v>
      </c>
      <c r="K8" s="21"/>
      <c r="L8" s="21">
        <f>L5</f>
        <v>0</v>
      </c>
      <c r="M8" s="21">
        <f>M5</f>
        <v>0</v>
      </c>
      <c r="N8" s="21">
        <f>N5</f>
        <v>21016.777059665543</v>
      </c>
      <c r="O8" s="21">
        <f>O5</f>
        <v>240.75333333333336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9.8201303245489396E-2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1671.3246741212445</v>
      </c>
      <c r="C12" s="23">
        <f ca="1">C10*C8</f>
        <v>0</v>
      </c>
      <c r="D12" s="23">
        <f>D8*D10</f>
        <v>6538.0907381985107</v>
      </c>
      <c r="E12" s="23">
        <f>E10*E8</f>
        <v>820.63536718157934</v>
      </c>
      <c r="F12" s="23">
        <f>F10*F8</f>
        <v>7209.3959522098194</v>
      </c>
      <c r="G12" s="23"/>
      <c r="H12" s="23"/>
      <c r="I12" s="23"/>
      <c r="J12" s="23">
        <f>J10*J8</f>
        <v>99.857245972079909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4245</v>
      </c>
      <c r="C28" s="36"/>
      <c r="D28" s="228"/>
    </row>
    <row r="29" spans="1:7" s="15" customFormat="1">
      <c r="A29" s="230" t="s">
        <v>794</v>
      </c>
      <c r="B29" s="37">
        <f>SUM(HH_hh_gas_aantal,HH_rest_gas_aantal)</f>
        <v>2233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2233</v>
      </c>
      <c r="C32" s="167">
        <f>IF(ISERROR(B32/SUM($B$32,$B$34,$B$35,$B$36,$B$38,$B$39)*100),0,B32/SUM($B$32,$B$34,$B$35,$B$36,$B$38,$B$39)*100)</f>
        <v>53.065589353612161</v>
      </c>
      <c r="D32" s="233"/>
      <c r="G32" s="15"/>
    </row>
    <row r="33" spans="1:7">
      <c r="A33" s="171" t="s">
        <v>72</v>
      </c>
      <c r="B33" s="34" t="s">
        <v>111</v>
      </c>
      <c r="C33" s="167"/>
      <c r="D33" s="233"/>
      <c r="G33" s="15"/>
    </row>
    <row r="34" spans="1:7">
      <c r="A34" s="171" t="s">
        <v>73</v>
      </c>
      <c r="B34" s="33">
        <f>IF((($B$28-$B$32-$B$39-$B$77-$B$38)*C20/100)&lt;0,0,($B$28-$B$32-$B$39-$B$77-$B$38)*C20/100)</f>
        <v>170.7391304347826</v>
      </c>
      <c r="C34" s="167">
        <f>IF(ISERROR(B34/SUM($B$32,$B$34,$B$35,$B$36,$B$38,$B$39)*100),0,B34/SUM($B$32,$B$34,$B$35,$B$36,$B$38,$B$39)*100)</f>
        <v>4.0574888411307652</v>
      </c>
      <c r="D34" s="233"/>
      <c r="G34" s="15"/>
    </row>
    <row r="35" spans="1:7">
      <c r="A35" s="171" t="s">
        <v>74</v>
      </c>
      <c r="B35" s="33">
        <f>IF((($B$28-$B$32-$B$39-$B$77-$B$38)*C21/100)&lt;0,0,($B$28-$B$32-$B$39-$B$77-$B$38)*C21/100)</f>
        <v>462</v>
      </c>
      <c r="C35" s="167">
        <f>IF(ISERROR(B35/SUM($B$32,$B$34,$B$35,$B$36,$B$38,$B$39)*100),0,B35/SUM($B$32,$B$34,$B$35,$B$36,$B$38,$B$39)*100)</f>
        <v>10.979087452471482</v>
      </c>
      <c r="D35" s="233"/>
      <c r="G35" s="15"/>
    </row>
    <row r="36" spans="1:7">
      <c r="A36" s="171" t="s">
        <v>75</v>
      </c>
      <c r="B36" s="33">
        <f>IF((($B$28-$B$32-$B$39-$B$77-$B$38)*C22/100)&lt;0,0,($B$28-$B$32-$B$39-$B$77-$B$38)*C22/100)</f>
        <v>291.26086956521738</v>
      </c>
      <c r="C36" s="167">
        <f>IF(ISERROR(B36/SUM($B$32,$B$34,$B$35,$B$36,$B$38,$B$39)*100),0,B36/SUM($B$32,$B$34,$B$35,$B$36,$B$38,$B$39)*100)</f>
        <v>6.9215986113407162</v>
      </c>
      <c r="D36" s="233"/>
      <c r="G36" s="15"/>
    </row>
    <row r="37" spans="1:7">
      <c r="A37" s="171" t="s">
        <v>76</v>
      </c>
      <c r="B37" s="34" t="s">
        <v>111</v>
      </c>
      <c r="C37" s="167"/>
      <c r="D37" s="173"/>
      <c r="G37" s="15"/>
    </row>
    <row r="38" spans="1:7">
      <c r="A38" s="171" t="s">
        <v>77</v>
      </c>
      <c r="B38" s="33">
        <f>IF((B24-(B29-B18)*0.1)&lt;0,0,B24-(B29-B18)*0.1)</f>
        <v>8</v>
      </c>
      <c r="C38" s="167">
        <f>IF(ISERROR(B38/SUM($B$32,$B$34,$B$35,$B$36,$B$38,$B$39)*100),0,B38/SUM($B$32,$B$34,$B$35,$B$36,$B$38,$B$39)*100)</f>
        <v>0.19011406844106463</v>
      </c>
      <c r="D38" s="234"/>
      <c r="G38" s="15"/>
    </row>
    <row r="39" spans="1:7">
      <c r="A39" s="171" t="s">
        <v>78</v>
      </c>
      <c r="B39" s="33">
        <f>IF((B25-(B29-B18))&lt;0,0,B25-(B29-B18)*0.9)</f>
        <v>1043</v>
      </c>
      <c r="C39" s="167">
        <f>IF(ISERROR(B39/SUM($B$32,$B$34,$B$35,$B$36,$B$38,$B$39)*100),0,B39/SUM($B$32,$B$34,$B$35,$B$36,$B$38,$B$39)*100)</f>
        <v>24.786121673003802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2233</v>
      </c>
      <c r="C44" s="34" t="s">
        <v>111</v>
      </c>
      <c r="D44" s="174"/>
    </row>
    <row r="45" spans="1:7">
      <c r="A45" s="171" t="s">
        <v>72</v>
      </c>
      <c r="B45" s="33" t="str">
        <f t="shared" si="0"/>
        <v>-</v>
      </c>
      <c r="C45" s="34" t="s">
        <v>111</v>
      </c>
      <c r="D45" s="174"/>
    </row>
    <row r="46" spans="1:7">
      <c r="A46" s="171" t="s">
        <v>73</v>
      </c>
      <c r="B46" s="33">
        <f t="shared" si="0"/>
        <v>170.7391304347826</v>
      </c>
      <c r="C46" s="34" t="s">
        <v>111</v>
      </c>
      <c r="D46" s="174"/>
    </row>
    <row r="47" spans="1:7">
      <c r="A47" s="171" t="s">
        <v>74</v>
      </c>
      <c r="B47" s="33">
        <f t="shared" si="0"/>
        <v>462</v>
      </c>
      <c r="C47" s="34" t="s">
        <v>111</v>
      </c>
      <c r="D47" s="174"/>
    </row>
    <row r="48" spans="1:7">
      <c r="A48" s="171" t="s">
        <v>75</v>
      </c>
      <c r="B48" s="33">
        <f t="shared" si="0"/>
        <v>291.26086956521738</v>
      </c>
      <c r="C48" s="33">
        <f>B48*10</f>
        <v>2912.608695652174</v>
      </c>
      <c r="D48" s="234"/>
    </row>
    <row r="49" spans="1:6">
      <c r="A49" s="171" t="s">
        <v>76</v>
      </c>
      <c r="B49" s="33" t="str">
        <f t="shared" si="0"/>
        <v>-</v>
      </c>
      <c r="C49" s="34" t="s">
        <v>111</v>
      </c>
      <c r="D49" s="234"/>
    </row>
    <row r="50" spans="1:6">
      <c r="A50" s="171" t="s">
        <v>77</v>
      </c>
      <c r="B50" s="33">
        <f t="shared" si="0"/>
        <v>8</v>
      </c>
      <c r="C50" s="33">
        <f>B50*2</f>
        <v>16</v>
      </c>
      <c r="D50" s="234"/>
    </row>
    <row r="51" spans="1:6">
      <c r="A51" s="171" t="s">
        <v>78</v>
      </c>
      <c r="B51" s="33">
        <f t="shared" si="0"/>
        <v>1043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30831.030792669757</v>
      </c>
      <c r="C5" s="17">
        <f>IF(ISERROR('Eigen informatie GS &amp; warmtenet'!B58),0,'Eigen informatie GS &amp; warmtenet'!B58)</f>
        <v>0</v>
      </c>
      <c r="D5" s="30">
        <f>SUM(D6:D12)</f>
        <v>17423.649719038931</v>
      </c>
      <c r="E5" s="17">
        <f>SUM(E6:E12)</f>
        <v>397.18268926912214</v>
      </c>
      <c r="F5" s="17">
        <f>SUM(F6:F12)</f>
        <v>5299.4080928787198</v>
      </c>
      <c r="G5" s="18"/>
      <c r="H5" s="17"/>
      <c r="I5" s="17"/>
      <c r="J5" s="17">
        <f>SUM(J6:J12)</f>
        <v>6.7359857870109424E-2</v>
      </c>
      <c r="K5" s="17"/>
      <c r="L5" s="17"/>
      <c r="M5" s="17"/>
      <c r="N5" s="17">
        <f>SUM(N6:N12)</f>
        <v>2692.4102588328087</v>
      </c>
      <c r="O5" s="17">
        <f>B38*B39*B40</f>
        <v>1.5633333333333335</v>
      </c>
      <c r="P5" s="17">
        <f>B46*B47*B48/1000-B46*B47*B48/1000/B49</f>
        <v>0</v>
      </c>
      <c r="R5" s="32"/>
    </row>
    <row r="6" spans="1:18">
      <c r="A6" s="32" t="s">
        <v>54</v>
      </c>
      <c r="B6" s="37">
        <f>B26</f>
        <v>3155.9185140487102</v>
      </c>
      <c r="C6" s="33"/>
      <c r="D6" s="37">
        <f>IF(ISERROR(TER_kantoor_gas_kWh/1000),0,TER_kantoor_gas_kWh/1000)*0.902</f>
        <v>2998.2718417395877</v>
      </c>
      <c r="E6" s="33">
        <f>$C$26*'E Balans VL '!I12/100/3.6*1000000</f>
        <v>1.9780247604003671E-2</v>
      </c>
      <c r="F6" s="33">
        <f>$C$26*('E Balans VL '!L12+'E Balans VL '!N12)/100/3.6*1000000</f>
        <v>474.24636788772506</v>
      </c>
      <c r="G6" s="34"/>
      <c r="H6" s="33"/>
      <c r="I6" s="33"/>
      <c r="J6" s="33">
        <f>$C$26*('E Balans VL '!D12+'E Balans VL '!E12)/100/3.6*1000000</f>
        <v>0</v>
      </c>
      <c r="K6" s="33"/>
      <c r="L6" s="33"/>
      <c r="M6" s="33"/>
      <c r="N6" s="33">
        <f>$C$26*'E Balans VL '!Y12/100/3.6*1000000</f>
        <v>3.0181681424168034</v>
      </c>
      <c r="O6" s="33"/>
      <c r="P6" s="33"/>
      <c r="R6" s="32"/>
    </row>
    <row r="7" spans="1:18">
      <c r="A7" s="32" t="s">
        <v>53</v>
      </c>
      <c r="B7" s="37">
        <f t="shared" ref="B7:B12" si="0">B27</f>
        <v>1027.00663728324</v>
      </c>
      <c r="C7" s="33"/>
      <c r="D7" s="37">
        <f>IF(ISERROR(TER_horeca_gas_kWh/1000),0,TER_horeca_gas_kWh/1000)*0.902</f>
        <v>1200.4003360932891</v>
      </c>
      <c r="E7" s="33">
        <f>$C$27*'E Balans VL '!I9/100/3.6*1000000</f>
        <v>14.706563979246525</v>
      </c>
      <c r="F7" s="33">
        <f>$C$27*('E Balans VL '!L9+'E Balans VL '!N9)/100/3.6*1000000</f>
        <v>130.05291226390321</v>
      </c>
      <c r="G7" s="34"/>
      <c r="H7" s="33"/>
      <c r="I7" s="33"/>
      <c r="J7" s="33">
        <f>$C$27*('E Balans VL '!D9+'E Balans VL '!E9)/100/3.6*1000000</f>
        <v>0</v>
      </c>
      <c r="K7" s="33"/>
      <c r="L7" s="33"/>
      <c r="M7" s="33"/>
      <c r="N7" s="33">
        <f>$C$27*'E Balans VL '!Y9/100/3.6*1000000</f>
        <v>0.29524176466629437</v>
      </c>
      <c r="O7" s="33"/>
      <c r="P7" s="33"/>
      <c r="R7" s="32"/>
    </row>
    <row r="8" spans="1:18">
      <c r="A8" s="6" t="s">
        <v>52</v>
      </c>
      <c r="B8" s="37">
        <f t="shared" si="0"/>
        <v>2395.7651001071999</v>
      </c>
      <c r="C8" s="33"/>
      <c r="D8" s="37">
        <f>IF(ISERROR(TER_handel_gas_kWh/1000),0,TER_handel_gas_kWh/1000)*0.902</f>
        <v>894.65322084520972</v>
      </c>
      <c r="E8" s="33">
        <f>$C$28*'E Balans VL '!I13/100/3.6*1000000</f>
        <v>86.894104748371817</v>
      </c>
      <c r="F8" s="33">
        <f>$C$28*('E Balans VL '!L13+'E Balans VL '!N13)/100/3.6*1000000</f>
        <v>461.44861694460292</v>
      </c>
      <c r="G8" s="34"/>
      <c r="H8" s="33"/>
      <c r="I8" s="33"/>
      <c r="J8" s="33">
        <f>$C$28*('E Balans VL '!D13+'E Balans VL '!E13)/100/3.6*1000000</f>
        <v>0</v>
      </c>
      <c r="K8" s="33"/>
      <c r="L8" s="33"/>
      <c r="M8" s="33"/>
      <c r="N8" s="33">
        <f>$C$28*'E Balans VL '!Y13/100/3.6*1000000</f>
        <v>3.3186859046133956</v>
      </c>
      <c r="O8" s="33"/>
      <c r="P8" s="33"/>
      <c r="R8" s="32"/>
    </row>
    <row r="9" spans="1:18">
      <c r="A9" s="32" t="s">
        <v>51</v>
      </c>
      <c r="B9" s="37">
        <f t="shared" si="0"/>
        <v>47.033926250502404</v>
      </c>
      <c r="C9" s="33"/>
      <c r="D9" s="37">
        <f>IF(ISERROR(TER_gezond_gas_kWh/1000),0,TER_gezond_gas_kWh/1000)*0.902</f>
        <v>110.48799430635933</v>
      </c>
      <c r="E9" s="33">
        <f>$C$29*'E Balans VL '!I10/100/3.6*1000000</f>
        <v>2.9447881594087759E-3</v>
      </c>
      <c r="F9" s="33">
        <f>$C$29*('E Balans VL '!L10+'E Balans VL '!N10)/100/3.6*1000000</f>
        <v>6.9870329491794738</v>
      </c>
      <c r="G9" s="34"/>
      <c r="H9" s="33"/>
      <c r="I9" s="33"/>
      <c r="J9" s="33">
        <f>$C$29*('E Balans VL '!D10+'E Balans VL '!E10)/100/3.6*1000000</f>
        <v>0</v>
      </c>
      <c r="K9" s="33"/>
      <c r="L9" s="33"/>
      <c r="M9" s="33"/>
      <c r="N9" s="33">
        <f>$C$29*'E Balans VL '!Y10/100/3.6*1000000</f>
        <v>0.7275253096287122</v>
      </c>
      <c r="O9" s="33"/>
      <c r="P9" s="33"/>
      <c r="R9" s="32"/>
    </row>
    <row r="10" spans="1:18">
      <c r="A10" s="32" t="s">
        <v>50</v>
      </c>
      <c r="B10" s="37">
        <f t="shared" si="0"/>
        <v>460.45499044159703</v>
      </c>
      <c r="C10" s="33"/>
      <c r="D10" s="37">
        <f>IF(ISERROR(TER_ander_gas_kWh/1000),0,TER_ander_gas_kWh/1000)*0.902</f>
        <v>261.19031435265396</v>
      </c>
      <c r="E10" s="33">
        <f>$C$30*'E Balans VL '!I14/100/3.6*1000000</f>
        <v>0.54884589472524259</v>
      </c>
      <c r="F10" s="33">
        <f>$C$30*('E Balans VL '!L14+'E Balans VL '!N14)/100/3.6*1000000</f>
        <v>120.47549572060133</v>
      </c>
      <c r="G10" s="34"/>
      <c r="H10" s="33"/>
      <c r="I10" s="33"/>
      <c r="J10" s="33">
        <f>$C$30*('E Balans VL '!D14+'E Balans VL '!E14)/100/3.6*1000000</f>
        <v>9.9946729087622976E-3</v>
      </c>
      <c r="K10" s="33"/>
      <c r="L10" s="33"/>
      <c r="M10" s="33"/>
      <c r="N10" s="33">
        <f>$C$30*'E Balans VL '!Y14/100/3.6*1000000</f>
        <v>391.00711070798491</v>
      </c>
      <c r="O10" s="33"/>
      <c r="P10" s="33"/>
      <c r="R10" s="32"/>
    </row>
    <row r="11" spans="1:18">
      <c r="A11" s="32" t="s">
        <v>55</v>
      </c>
      <c r="B11" s="37">
        <f t="shared" si="0"/>
        <v>55.160476065708096</v>
      </c>
      <c r="C11" s="33"/>
      <c r="D11" s="37">
        <f>IF(ISERROR(TER_onderwijs_gas_kWh/1000),0,TER_onderwijs_gas_kWh/1000)*0.902</f>
        <v>208.35120469766579</v>
      </c>
      <c r="E11" s="33">
        <f>$C$31*'E Balans VL '!I11/100/3.6*1000000</f>
        <v>0.83228273943664499</v>
      </c>
      <c r="F11" s="33">
        <f>$C$31*('E Balans VL '!L11+'E Balans VL '!N11)/100/3.6*1000000</f>
        <v>9.6649966215330565</v>
      </c>
      <c r="G11" s="34"/>
      <c r="H11" s="33"/>
      <c r="I11" s="33"/>
      <c r="J11" s="33">
        <f>$C$31*('E Balans VL '!D11+'E Balans VL '!E11)/100/3.6*1000000</f>
        <v>0</v>
      </c>
      <c r="K11" s="33"/>
      <c r="L11" s="33"/>
      <c r="M11" s="33"/>
      <c r="N11" s="33">
        <f>$C$31*'E Balans VL '!Y11/100/3.6*1000000</f>
        <v>0.15522577310798791</v>
      </c>
      <c r="O11" s="33"/>
      <c r="P11" s="33"/>
      <c r="R11" s="32"/>
    </row>
    <row r="12" spans="1:18">
      <c r="A12" s="32" t="s">
        <v>260</v>
      </c>
      <c r="B12" s="37">
        <f t="shared" si="0"/>
        <v>23689.691148472801</v>
      </c>
      <c r="C12" s="33"/>
      <c r="D12" s="37">
        <f>IF(ISERROR(TER_rest_gas_kWh/1000),0,TER_rest_gas_kWh/1000)*0.902</f>
        <v>11750.294807004164</v>
      </c>
      <c r="E12" s="33">
        <f>$C$32*'E Balans VL '!I8/100/3.6*1000000</f>
        <v>294.17816687157847</v>
      </c>
      <c r="F12" s="33">
        <f>$C$32*('E Balans VL '!L8+'E Balans VL '!N8)/100/3.6*1000000</f>
        <v>4096.5326704911749</v>
      </c>
      <c r="G12" s="34"/>
      <c r="H12" s="33"/>
      <c r="I12" s="33"/>
      <c r="J12" s="33">
        <f>$C$32*('E Balans VL '!D8+'E Balans VL '!E8)/100/3.6*1000000</f>
        <v>5.736518496134712E-2</v>
      </c>
      <c r="K12" s="33"/>
      <c r="L12" s="33"/>
      <c r="M12" s="33"/>
      <c r="N12" s="33">
        <f>$C$32*'E Balans VL '!Y8/100/3.6*1000000</f>
        <v>2293.8883012303904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30831.030792669757</v>
      </c>
      <c r="C16" s="21">
        <f t="shared" ca="1" si="1"/>
        <v>0</v>
      </c>
      <c r="D16" s="21">
        <f t="shared" ca="1" si="1"/>
        <v>17423.649719038931</v>
      </c>
      <c r="E16" s="21">
        <f t="shared" si="1"/>
        <v>397.18268926912214</v>
      </c>
      <c r="F16" s="21">
        <f t="shared" ca="1" si="1"/>
        <v>5299.4080928787198</v>
      </c>
      <c r="G16" s="21">
        <f t="shared" si="1"/>
        <v>0</v>
      </c>
      <c r="H16" s="21">
        <f t="shared" si="1"/>
        <v>0</v>
      </c>
      <c r="I16" s="21">
        <f t="shared" si="1"/>
        <v>0</v>
      </c>
      <c r="J16" s="21">
        <f t="shared" si="1"/>
        <v>6.7359857870109424E-2</v>
      </c>
      <c r="K16" s="21">
        <f t="shared" si="1"/>
        <v>0</v>
      </c>
      <c r="L16" s="21">
        <f t="shared" ca="1" si="1"/>
        <v>0</v>
      </c>
      <c r="M16" s="21">
        <f t="shared" si="1"/>
        <v>0</v>
      </c>
      <c r="N16" s="21">
        <f t="shared" ca="1" si="1"/>
        <v>2692.4102588328087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9.8201303245489396E-2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3027.6474042419841</v>
      </c>
      <c r="C20" s="23">
        <f t="shared" ref="C20:P20" ca="1" si="2">C16*C18</f>
        <v>0</v>
      </c>
      <c r="D20" s="23">
        <f t="shared" ca="1" si="2"/>
        <v>3519.5772432458643</v>
      </c>
      <c r="E20" s="23">
        <f t="shared" si="2"/>
        <v>90.160470464090722</v>
      </c>
      <c r="F20" s="23">
        <f t="shared" ca="1" si="2"/>
        <v>1414.9419607986183</v>
      </c>
      <c r="G20" s="23">
        <f t="shared" si="2"/>
        <v>0</v>
      </c>
      <c r="H20" s="23">
        <f t="shared" si="2"/>
        <v>0</v>
      </c>
      <c r="I20" s="23">
        <f t="shared" si="2"/>
        <v>0</v>
      </c>
      <c r="J20" s="23">
        <f t="shared" si="2"/>
        <v>2.3845389686018736E-2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3155.9185140487102</v>
      </c>
      <c r="C26" s="39">
        <f>IF(ISERROR(B26*3.6/1000000/'E Balans VL '!Z12*100),0,B26*3.6/1000000/'E Balans VL '!Z12*100)</f>
        <v>6.6711118008238326E-2</v>
      </c>
      <c r="D26" s="237" t="s">
        <v>754</v>
      </c>
      <c r="F26" s="6"/>
    </row>
    <row r="27" spans="1:18">
      <c r="A27" s="231" t="s">
        <v>53</v>
      </c>
      <c r="B27" s="33">
        <f>IF(ISERROR(TER_horeca_ele_kWh/1000),0,TER_horeca_ele_kWh/1000)</f>
        <v>1027.00663728324</v>
      </c>
      <c r="C27" s="39">
        <f>IF(ISERROR(B27*3.6/1000000/'E Balans VL '!Z9*100),0,B27*3.6/1000000/'E Balans VL '!Z9*100)</f>
        <v>8.0958550432122217E-2</v>
      </c>
      <c r="D27" s="237" t="s">
        <v>754</v>
      </c>
      <c r="F27" s="6"/>
    </row>
    <row r="28" spans="1:18">
      <c r="A28" s="171" t="s">
        <v>52</v>
      </c>
      <c r="B28" s="33">
        <f>IF(ISERROR(TER_handel_ele_kWh/1000),0,TER_handel_ele_kWh/1000)</f>
        <v>2395.7651001071999</v>
      </c>
      <c r="C28" s="39">
        <f>IF(ISERROR(B28*3.6/1000000/'E Balans VL '!Z13*100),0,B28*3.6/1000000/'E Balans VL '!Z13*100)</f>
        <v>6.9534783180815726E-2</v>
      </c>
      <c r="D28" s="237" t="s">
        <v>754</v>
      </c>
      <c r="F28" s="6"/>
    </row>
    <row r="29" spans="1:18">
      <c r="A29" s="231" t="s">
        <v>51</v>
      </c>
      <c r="B29" s="33">
        <f>IF(ISERROR(TER_gezond_ele_kWh/1000),0,TER_gezond_ele_kWh/1000)</f>
        <v>47.033926250502404</v>
      </c>
      <c r="C29" s="39">
        <f>IF(ISERROR(B29*3.6/1000000/'E Balans VL '!Z10*100),0,B29*3.6/1000000/'E Balans VL '!Z10*100)</f>
        <v>4.953444751633132E-3</v>
      </c>
      <c r="D29" s="237" t="s">
        <v>754</v>
      </c>
      <c r="F29" s="6"/>
    </row>
    <row r="30" spans="1:18">
      <c r="A30" s="231" t="s">
        <v>50</v>
      </c>
      <c r="B30" s="33">
        <f>IF(ISERROR(TER_ander_ele_kWh/1000),0,TER_ander_ele_kWh/1000)</f>
        <v>460.45499044159703</v>
      </c>
      <c r="C30" s="39">
        <f>IF(ISERROR(B30*3.6/1000000/'E Balans VL '!Z14*100),0,B30*3.6/1000000/'E Balans VL '!Z14*100)</f>
        <v>3.3963260105298633E-2</v>
      </c>
      <c r="D30" s="237" t="s">
        <v>754</v>
      </c>
      <c r="F30" s="6"/>
    </row>
    <row r="31" spans="1:18">
      <c r="A31" s="231" t="s">
        <v>55</v>
      </c>
      <c r="B31" s="33">
        <f>IF(ISERROR(TER_onderwijs_ele_kWh/1000),0,TER_onderwijs_ele_kWh/1000)</f>
        <v>55.160476065708096</v>
      </c>
      <c r="C31" s="39">
        <f>IF(ISERROR(B31*3.6/1000000/'E Balans VL '!Z11*100),0,B31*3.6/1000000/'E Balans VL '!Z11*100)</f>
        <v>1.3698930075983599E-2</v>
      </c>
      <c r="D31" s="237" t="s">
        <v>754</v>
      </c>
    </row>
    <row r="32" spans="1:18">
      <c r="A32" s="231" t="s">
        <v>260</v>
      </c>
      <c r="B32" s="33">
        <f>IF(ISERROR(TER_rest_ele_kWh/1000),0,TER_rest_ele_kWh/1000)</f>
        <v>23689.691148472801</v>
      </c>
      <c r="C32" s="39">
        <f>IF(ISERROR(B32*3.6/1000000/'E Balans VL '!Z8*100),0,B32*3.6/1000000/'E Balans VL '!Z8*100)</f>
        <v>0.19493471328338538</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3001.1434399959676</v>
      </c>
      <c r="C5" s="17">
        <f>IF(ISERROR('Eigen informatie GS &amp; warmtenet'!B59),0,'Eigen informatie GS &amp; warmtenet'!B59)</f>
        <v>0</v>
      </c>
      <c r="D5" s="30">
        <f>SUM(D6:D15)</f>
        <v>1539.3085652228397</v>
      </c>
      <c r="E5" s="17">
        <f>SUM(E6:E15)</f>
        <v>308.16183810811498</v>
      </c>
      <c r="F5" s="17">
        <f>SUM(F6:F15)</f>
        <v>958.83908835815907</v>
      </c>
      <c r="G5" s="18"/>
      <c r="H5" s="17"/>
      <c r="I5" s="17"/>
      <c r="J5" s="17">
        <f>SUM(J6:J15)</f>
        <v>7.6611766038638525</v>
      </c>
      <c r="K5" s="17"/>
      <c r="L5" s="17"/>
      <c r="M5" s="17"/>
      <c r="N5" s="17">
        <f>SUM(N6:N15)</f>
        <v>707.05676961932977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31.2652070709558</v>
      </c>
      <c r="C8" s="33"/>
      <c r="D8" s="37">
        <f>IF( ISERROR(IND_metaal_Gas_kWH/1000),0,IND_metaal_Gas_kWH/1000)*0.902</f>
        <v>0</v>
      </c>
      <c r="E8" s="33">
        <f>C30*'E Balans VL '!I18/100/3.6*1000000</f>
        <v>0.28745338279328247</v>
      </c>
      <c r="F8" s="33">
        <f>C30*'E Balans VL '!L18/100/3.6*1000000+C30*'E Balans VL '!N18/100/3.6*1000000</f>
        <v>2.9316354991451514</v>
      </c>
      <c r="G8" s="34"/>
      <c r="H8" s="33"/>
      <c r="I8" s="33"/>
      <c r="J8" s="40">
        <f>C30*'E Balans VL '!D18/100/3.6*1000000+C30*'E Balans VL '!E18/100/3.6*1000000</f>
        <v>0</v>
      </c>
      <c r="K8" s="33"/>
      <c r="L8" s="33"/>
      <c r="M8" s="33"/>
      <c r="N8" s="33">
        <f>C30*'E Balans VL '!Y18/100/3.6*1000000</f>
        <v>0.44604984679766002</v>
      </c>
      <c r="O8" s="33"/>
      <c r="P8" s="33"/>
      <c r="R8" s="32"/>
    </row>
    <row r="9" spans="1:18">
      <c r="A9" s="6" t="s">
        <v>33</v>
      </c>
      <c r="B9" s="37">
        <f t="shared" si="0"/>
        <v>647.66999954237599</v>
      </c>
      <c r="C9" s="33"/>
      <c r="D9" s="37">
        <f>IF( ISERROR(IND_andere_gas_kWh/1000),0,IND_andere_gas_kWh/1000)*0.902</f>
        <v>594.14919485864039</v>
      </c>
      <c r="E9" s="33">
        <f>C31*'E Balans VL '!I19/100/3.6*1000000</f>
        <v>189.32654951394619</v>
      </c>
      <c r="F9" s="33">
        <f>C31*'E Balans VL '!L19/100/3.6*1000000+C31*'E Balans VL '!N19/100/3.6*1000000</f>
        <v>520.45186874663852</v>
      </c>
      <c r="G9" s="34"/>
      <c r="H9" s="33"/>
      <c r="I9" s="33"/>
      <c r="J9" s="40">
        <f>C31*'E Balans VL '!D19/100/3.6*1000000+C31*'E Balans VL '!E19/100/3.6*1000000</f>
        <v>0</v>
      </c>
      <c r="K9" s="33"/>
      <c r="L9" s="33"/>
      <c r="M9" s="33"/>
      <c r="N9" s="33">
        <f>C31*'E Balans VL '!Y19/100/3.6*1000000</f>
        <v>214.00021249832773</v>
      </c>
      <c r="O9" s="33"/>
      <c r="P9" s="33"/>
      <c r="R9" s="32"/>
    </row>
    <row r="10" spans="1:18">
      <c r="A10" s="6" t="s">
        <v>41</v>
      </c>
      <c r="B10" s="37">
        <f t="shared" si="0"/>
        <v>182.20340170689599</v>
      </c>
      <c r="C10" s="33"/>
      <c r="D10" s="37">
        <f>IF( ISERROR(IND_voed_gas_kWh/1000),0,IND_voed_gas_kWh/1000)*0.902</f>
        <v>0</v>
      </c>
      <c r="E10" s="33">
        <f>C32*'E Balans VL '!I20/100/3.6*1000000</f>
        <v>0.38545412140814217</v>
      </c>
      <c r="F10" s="33">
        <f>C32*'E Balans VL '!L20/100/3.6*1000000+C32*'E Balans VL '!N20/100/3.6*1000000</f>
        <v>11.584678395841545</v>
      </c>
      <c r="G10" s="34"/>
      <c r="H10" s="33"/>
      <c r="I10" s="33"/>
      <c r="J10" s="40">
        <f>C32*'E Balans VL '!D20/100/3.6*1000000+C32*'E Balans VL '!E20/100/3.6*1000000</f>
        <v>0</v>
      </c>
      <c r="K10" s="33"/>
      <c r="L10" s="33"/>
      <c r="M10" s="33"/>
      <c r="N10" s="33">
        <f>C32*'E Balans VL '!Y20/100/3.6*1000000</f>
        <v>12.57383274487791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2140.0048316757398</v>
      </c>
      <c r="C15" s="33"/>
      <c r="D15" s="37">
        <f>IF( ISERROR(IND_rest_gas_kWh/1000),0,IND_rest_gas_kWh/1000)*0.902</f>
        <v>945.15937036419928</v>
      </c>
      <c r="E15" s="33">
        <f>C37*'E Balans VL '!I15/100/3.6*1000000</f>
        <v>118.16238108996738</v>
      </c>
      <c r="F15" s="33">
        <f>C37*'E Balans VL '!L15/100/3.6*1000000+C37*'E Balans VL '!N15/100/3.6*1000000</f>
        <v>423.8709057165338</v>
      </c>
      <c r="G15" s="34"/>
      <c r="H15" s="33"/>
      <c r="I15" s="33"/>
      <c r="J15" s="40">
        <f>C37*'E Balans VL '!D15/100/3.6*1000000+C37*'E Balans VL '!E15/100/3.6*1000000</f>
        <v>7.6611766038638525</v>
      </c>
      <c r="K15" s="33"/>
      <c r="L15" s="33"/>
      <c r="M15" s="33"/>
      <c r="N15" s="33">
        <f>C37*'E Balans VL '!Y15/100/3.6*1000000</f>
        <v>480.03667452932643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3001.1434399959676</v>
      </c>
      <c r="C18" s="21">
        <f>C5+C16</f>
        <v>0</v>
      </c>
      <c r="D18" s="21">
        <f>MAX((D5+D16),0)</f>
        <v>1539.3085652228397</v>
      </c>
      <c r="E18" s="21">
        <f>MAX((E5+E16),0)</f>
        <v>308.16183810811498</v>
      </c>
      <c r="F18" s="21">
        <f>MAX((F5+F16),0)</f>
        <v>958.83908835815907</v>
      </c>
      <c r="G18" s="21"/>
      <c r="H18" s="21"/>
      <c r="I18" s="21"/>
      <c r="J18" s="21">
        <f>MAX((J5+J16),0)</f>
        <v>7.6611766038638525</v>
      </c>
      <c r="K18" s="21"/>
      <c r="L18" s="21">
        <f>MAX((L5+L16),0)</f>
        <v>0</v>
      </c>
      <c r="M18" s="21"/>
      <c r="N18" s="21">
        <f>MAX((N5+N16),0)</f>
        <v>707.05676961932977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9.8201303245489396E-2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294.71619703425523</v>
      </c>
      <c r="C22" s="23">
        <f ca="1">C18*C20</f>
        <v>0</v>
      </c>
      <c r="D22" s="23">
        <f>D18*D20</f>
        <v>310.94033017501363</v>
      </c>
      <c r="E22" s="23">
        <f>E18*E20</f>
        <v>69.9527372505421</v>
      </c>
      <c r="F22" s="23">
        <f>F18*F20</f>
        <v>256.01003659162848</v>
      </c>
      <c r="G22" s="23"/>
      <c r="H22" s="23"/>
      <c r="I22" s="23"/>
      <c r="J22" s="23">
        <f>J18*J20</f>
        <v>2.7120565177678038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31.2652070709558</v>
      </c>
      <c r="C30" s="39">
        <f>IF(ISERROR(B30*3.6/1000000/'E Balans VL '!Z18*100),0,B30*3.6/1000000/'E Balans VL '!Z18*100)</f>
        <v>1.7718794539454512E-3</v>
      </c>
      <c r="D30" s="237" t="s">
        <v>754</v>
      </c>
    </row>
    <row r="31" spans="1:18">
      <c r="A31" s="6" t="s">
        <v>33</v>
      </c>
      <c r="B31" s="37">
        <f>IF( ISERROR(IND_ander_ele_kWh/1000),0,IND_ander_ele_kWh/1000)</f>
        <v>647.66999954237599</v>
      </c>
      <c r="C31" s="39">
        <f>IF(ISERROR(B31*3.6/1000000/'E Balans VL '!Z19*100),0,B31*3.6/1000000/'E Balans VL '!Z19*100)</f>
        <v>2.9375614328301949E-2</v>
      </c>
      <c r="D31" s="237" t="s">
        <v>754</v>
      </c>
    </row>
    <row r="32" spans="1:18">
      <c r="A32" s="171" t="s">
        <v>41</v>
      </c>
      <c r="B32" s="37">
        <f>IF( ISERROR(IND_voed_ele_kWh/1000),0,IND_voed_ele_kWh/1000)</f>
        <v>182.20340170689599</v>
      </c>
      <c r="C32" s="39">
        <f>IF(ISERROR(B32*3.6/1000000/'E Balans VL '!Z20*100),0,B32*3.6/1000000/'E Balans VL '!Z20*100)</f>
        <v>5.6363783483986095E-3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2140.0048316757398</v>
      </c>
      <c r="C37" s="39">
        <f>IF(ISERROR(B37*3.6/1000000/'E Balans VL '!Z15*100),0,B37*3.6/1000000/'E Balans VL '!Z15*100)</f>
        <v>1.6962166466915712E-2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1653.4773774904711</v>
      </c>
      <c r="C5" s="17">
        <f>'Eigen informatie GS &amp; warmtenet'!B60</f>
        <v>0</v>
      </c>
      <c r="D5" s="30">
        <f>IF(ISERROR(SUM(LB_lb_gas_kWh,LB_rest_gas_kWh)/1000),0,SUM(LB_lb_gas_kWh,LB_rest_gas_kWh)/1000)*0.902</f>
        <v>95.682966889522135</v>
      </c>
      <c r="E5" s="17">
        <f>B17*'E Balans VL '!I25/3.6*1000000/100</f>
        <v>48.600750427269332</v>
      </c>
      <c r="F5" s="17">
        <f>B17*('E Balans VL '!L25/3.6*1000000+'E Balans VL '!N25/3.6*1000000)/100</f>
        <v>6888.2974053975568</v>
      </c>
      <c r="G5" s="18"/>
      <c r="H5" s="17"/>
      <c r="I5" s="17"/>
      <c r="J5" s="17">
        <f>('E Balans VL '!D25+'E Balans VL '!E25)/3.6*1000000*landbouw!B17/100</f>
        <v>239.55336316522207</v>
      </c>
      <c r="K5" s="17"/>
      <c r="L5" s="17">
        <f>L6*(-1)</f>
        <v>0</v>
      </c>
      <c r="M5" s="17"/>
      <c r="N5" s="17">
        <f>N6*(-1)</f>
        <v>24960.857142857145</v>
      </c>
      <c r="O5" s="17"/>
      <c r="P5" s="17"/>
      <c r="R5" s="32"/>
    </row>
    <row r="6" spans="1:18">
      <c r="A6" s="16" t="s">
        <v>488</v>
      </c>
      <c r="B6" s="17" t="s">
        <v>211</v>
      </c>
      <c r="C6" s="17">
        <f>'lokale energieproductie'!O92+'lokale energieproductie'!O61</f>
        <v>12480.428571428572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1653.4773774904711</v>
      </c>
      <c r="C8" s="21">
        <f>C5+C6</f>
        <v>12480.428571428572</v>
      </c>
      <c r="D8" s="21">
        <f>MAX((D5+D6),0)</f>
        <v>95.682966889522135</v>
      </c>
      <c r="E8" s="21">
        <f>MAX((E5+E6),0)</f>
        <v>48.600750427269332</v>
      </c>
      <c r="F8" s="21">
        <f>MAX((F5+F6),0)</f>
        <v>6888.2974053975568</v>
      </c>
      <c r="G8" s="21"/>
      <c r="H8" s="21"/>
      <c r="I8" s="21"/>
      <c r="J8" s="21">
        <f>MAX((J5+J6),0)</f>
        <v>239.55336316522207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9.8201303245489396E-2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162.37363335649829</v>
      </c>
      <c r="C12" s="23">
        <f ca="1">C8*C10</f>
        <v>0</v>
      </c>
      <c r="D12" s="23">
        <f>D8*D10</f>
        <v>19.327959311683472</v>
      </c>
      <c r="E12" s="23">
        <f>E8*E10</f>
        <v>11.032370346990138</v>
      </c>
      <c r="F12" s="23">
        <f>F8*F10</f>
        <v>1839.1754072411477</v>
      </c>
      <c r="G12" s="23"/>
      <c r="H12" s="23"/>
      <c r="I12" s="23"/>
      <c r="J12" s="23">
        <f>J8*J10</f>
        <v>84.801890560488602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0.23463362749296326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547.98358477377599</v>
      </c>
      <c r="C26" s="247">
        <f>B26*'GWP N2O_CH4'!B5</f>
        <v>11507.655280249295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122.23634990185425</v>
      </c>
      <c r="C27" s="247">
        <f>B27*'GWP N2O_CH4'!B5</f>
        <v>2566.9633479389395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6.1122854259998629</v>
      </c>
      <c r="C28" s="247">
        <f>B28*'GWP N2O_CH4'!B4</f>
        <v>1894.8084820599574</v>
      </c>
      <c r="D28" s="50"/>
    </row>
    <row r="29" spans="1:4">
      <c r="A29" s="41" t="s">
        <v>277</v>
      </c>
      <c r="B29" s="247">
        <f>B34*'ha_N2O bodem landbouw'!B4</f>
        <v>11.372517818590548</v>
      </c>
      <c r="C29" s="247">
        <f>B29*'GWP N2O_CH4'!B4</f>
        <v>3525.4805237630699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2.5951693747624477E-3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1.3907170336865292E-4</v>
      </c>
      <c r="C5" s="463" t="s">
        <v>211</v>
      </c>
      <c r="D5" s="448">
        <f>SUM(D6:D11)</f>
        <v>4.5187051043508856E-4</v>
      </c>
      <c r="E5" s="448">
        <f>SUM(E6:E11)</f>
        <v>6.5930142179672032E-4</v>
      </c>
      <c r="F5" s="461" t="s">
        <v>211</v>
      </c>
      <c r="G5" s="448">
        <f>SUM(G6:G11)</f>
        <v>0.25371925889302627</v>
      </c>
      <c r="H5" s="448">
        <f>SUM(H6:H11)</f>
        <v>5.1902750045921771E-2</v>
      </c>
      <c r="I5" s="463" t="s">
        <v>211</v>
      </c>
      <c r="J5" s="463" t="s">
        <v>211</v>
      </c>
      <c r="K5" s="463" t="s">
        <v>211</v>
      </c>
      <c r="L5" s="463" t="s">
        <v>211</v>
      </c>
      <c r="M5" s="448">
        <f>SUM(M6:M11)</f>
        <v>1.6354834301063995E-2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8.0781028664884795E-5</v>
      </c>
      <c r="C6" s="449"/>
      <c r="D6" s="892">
        <f>vkm_2011_GW_PW*SUMIFS(TableVerdeelsleutelVkm[CNG],TableVerdeelsleutelVkm[Voertuigtype],"Lichte voertuigen")*SUMIFS(TableECFTransport[EnergieConsumptieFactor (PJ per km)],TableECFTransport[Index],CONCATENATE($A6,"_CNG_CNG"))</f>
        <v>2.422967219015244E-4</v>
      </c>
      <c r="E6" s="892">
        <f>vkm_2011_GW_PW*SUMIFS(TableVerdeelsleutelVkm[LPG],TableVerdeelsleutelVkm[Voertuigtype],"Lichte voertuigen")*SUMIFS(TableECFTransport[EnergieConsumptieFactor (PJ per km)],TableECFTransport[Index],CONCATENATE($A6,"_LPG_LPG"))</f>
        <v>3.3101212632635361E-4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8.5584562036282147E-2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2.7558464120392152E-2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5.8132056613968289E-3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1.9247336870047534E-2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5.8661971701180014E-6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1.1247494298568922E-3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1.2154558716978403E-5</v>
      </c>
      <c r="C8" s="449"/>
      <c r="D8" s="451">
        <f>vkm_2011_NGW_PW*SUMIFS(TableVerdeelsleutelVkm[CNG],TableVerdeelsleutelVkm[Voertuigtype],"Lichte voertuigen")*SUMIFS(TableECFTransport[EnergieConsumptieFactor (PJ per km)],TableECFTransport[Index],CONCATENATE($A8,"_CNG_CNG"))</f>
        <v>6.4820421123354903E-5</v>
      </c>
      <c r="E8" s="451">
        <f>vkm_2011_NGW_PW*SUMIFS(TableVerdeelsleutelVkm[LPG],TableVerdeelsleutelVkm[Voertuigtype],"Lichte voertuigen")*SUMIFS(TableECFTransport[EnergieConsumptieFactor (PJ per km)],TableECFTransport[Index],CONCATENATE($A8,"_LPG_LPG"))</f>
        <v>8.2011058348837533E-5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1.9760164229645234E-2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7.1645300828545718E-3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1.3658224278024613E-3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8.2956434369436203E-3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2.3802169159477623E-6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4.8476504627352989E-4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4.6136115986789733E-5</v>
      </c>
      <c r="C10" s="449"/>
      <c r="D10" s="451">
        <f>vkm_2011_SW_PW*SUMIFS(TableVerdeelsleutelVkm[CNG],TableVerdeelsleutelVkm[Voertuigtype],"Lichte voertuigen")*SUMIFS(TableECFTransport[EnergieConsumptieFactor (PJ per km)],TableECFTransport[Index],CONCATENATE($A10,"_CNG_CNG"))</f>
        <v>1.4475336741020929E-4</v>
      </c>
      <c r="E10" s="451">
        <f>vkm_2011_SW_PW*SUMIFS(TableVerdeelsleutelVkm[LPG],TableVerdeelsleutelVkm[Voertuigtype],"Lichte voertuigen")*SUMIFS(TableECFTransport[EnergieConsumptieFactor (PJ per km)],TableECFTransport[Index],CONCATENATE($A10,"_LPG_LPG"))</f>
        <v>2.4627823712152912E-4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5.6767691648520122E-2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1.7150424184030434E-2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3.8225698562211474E-3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6.4063860671587605E-2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2.1085244558549541E-5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3.7437218795131361E-3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38.631028713514702</v>
      </c>
      <c r="C14" s="21"/>
      <c r="D14" s="21">
        <f t="shared" ref="D14:M14" si="0">((D5)*10^9/3600)+D12</f>
        <v>125.51958623196904</v>
      </c>
      <c r="E14" s="21">
        <f t="shared" si="0"/>
        <v>183.13928383242231</v>
      </c>
      <c r="F14" s="21"/>
      <c r="G14" s="21">
        <f t="shared" si="0"/>
        <v>70477.571914729517</v>
      </c>
      <c r="H14" s="21">
        <f t="shared" si="0"/>
        <v>14417.430568311604</v>
      </c>
      <c r="I14" s="21"/>
      <c r="J14" s="21"/>
      <c r="K14" s="21"/>
      <c r="L14" s="21"/>
      <c r="M14" s="21">
        <f t="shared" si="0"/>
        <v>4543.0095280733321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9.8201303245489396E-2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3.7936173653810652</v>
      </c>
      <c r="C18" s="23"/>
      <c r="D18" s="23">
        <f t="shared" ref="D18:M18" si="1">D14*D16</f>
        <v>25.35495641885775</v>
      </c>
      <c r="E18" s="23">
        <f t="shared" si="1"/>
        <v>41.572617429959863</v>
      </c>
      <c r="F18" s="23"/>
      <c r="G18" s="23">
        <f t="shared" si="1"/>
        <v>18817.511701232783</v>
      </c>
      <c r="H18" s="23">
        <f t="shared" si="1"/>
        <v>3589.9402115095891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2.1536775330610832E-3</v>
      </c>
      <c r="H50" s="321">
        <f t="shared" si="2"/>
        <v>0</v>
      </c>
      <c r="I50" s="321">
        <f t="shared" si="2"/>
        <v>0</v>
      </c>
      <c r="J50" s="321">
        <f t="shared" si="2"/>
        <v>0</v>
      </c>
      <c r="K50" s="321">
        <f t="shared" si="2"/>
        <v>0</v>
      </c>
      <c r="L50" s="321">
        <f t="shared" si="2"/>
        <v>0</v>
      </c>
      <c r="M50" s="321">
        <f t="shared" si="2"/>
        <v>1.2231937630389209E-4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2.1536775330610832E-3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1.2231937630389209E-4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598.24375918363432</v>
      </c>
      <c r="H54" s="21">
        <f t="shared" si="3"/>
        <v>0</v>
      </c>
      <c r="I54" s="21">
        <f t="shared" si="3"/>
        <v>0</v>
      </c>
      <c r="J54" s="21">
        <f t="shared" si="3"/>
        <v>0</v>
      </c>
      <c r="K54" s="21">
        <f t="shared" si="3"/>
        <v>0</v>
      </c>
      <c r="L54" s="21">
        <f t="shared" si="3"/>
        <v>0</v>
      </c>
      <c r="M54" s="21">
        <f t="shared" si="3"/>
        <v>33.977604528858912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9.8201303245489396E-2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159.73108370203036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31268.540792669755</v>
      </c>
      <c r="D10" s="1013">
        <f ca="1">tertiair!C16</f>
        <v>0</v>
      </c>
      <c r="E10" s="1013">
        <f ca="1">tertiair!D16</f>
        <v>17423.649719038931</v>
      </c>
      <c r="F10" s="1013">
        <f>tertiair!E16</f>
        <v>397.18268926912214</v>
      </c>
      <c r="G10" s="1013">
        <f ca="1">tertiair!F16</f>
        <v>5299.4080928787198</v>
      </c>
      <c r="H10" s="1013">
        <f>tertiair!G16</f>
        <v>0</v>
      </c>
      <c r="I10" s="1013">
        <f>tertiair!H16</f>
        <v>0</v>
      </c>
      <c r="J10" s="1013">
        <f>tertiair!I16</f>
        <v>0</v>
      </c>
      <c r="K10" s="1013">
        <f>tertiair!J16</f>
        <v>6.7359857870109424E-2</v>
      </c>
      <c r="L10" s="1013">
        <f>tertiair!K16</f>
        <v>0</v>
      </c>
      <c r="M10" s="1013">
        <f ca="1">tertiair!L16</f>
        <v>0</v>
      </c>
      <c r="N10" s="1013">
        <f>tertiair!M16</f>
        <v>0</v>
      </c>
      <c r="O10" s="1013">
        <f ca="1">tertiair!N16</f>
        <v>2692.4102588328087</v>
      </c>
      <c r="P10" s="1013">
        <f>tertiair!O16</f>
        <v>1.5633333333333335</v>
      </c>
      <c r="Q10" s="1014">
        <f>tertiair!P16</f>
        <v>0</v>
      </c>
      <c r="R10" s="700">
        <f ca="1">SUM(C10:Q10)</f>
        <v>57082.822245880547</v>
      </c>
      <c r="S10" s="67"/>
    </row>
    <row r="11" spans="1:19" s="473" customFormat="1">
      <c r="A11" s="809" t="s">
        <v>225</v>
      </c>
      <c r="B11" s="814"/>
      <c r="C11" s="1013">
        <f>huishoudens!B8</f>
        <v>17019.373662925518</v>
      </c>
      <c r="D11" s="1013">
        <f>huishoudens!C8</f>
        <v>0</v>
      </c>
      <c r="E11" s="1013">
        <f>huishoudens!D8</f>
        <v>32366.785832665893</v>
      </c>
      <c r="F11" s="1013">
        <f>huishoudens!E8</f>
        <v>3615.1337761303053</v>
      </c>
      <c r="G11" s="1013">
        <f>huishoudens!F8</f>
        <v>27001.482967077973</v>
      </c>
      <c r="H11" s="1013">
        <f>huishoudens!G8</f>
        <v>0</v>
      </c>
      <c r="I11" s="1013">
        <f>huishoudens!H8</f>
        <v>0</v>
      </c>
      <c r="J11" s="1013">
        <f>huishoudens!I8</f>
        <v>0</v>
      </c>
      <c r="K11" s="1013">
        <f>huishoudens!J8</f>
        <v>282.08261574033872</v>
      </c>
      <c r="L11" s="1013">
        <f>huishoudens!K8</f>
        <v>0</v>
      </c>
      <c r="M11" s="1013">
        <f>huishoudens!L8</f>
        <v>0</v>
      </c>
      <c r="N11" s="1013">
        <f>huishoudens!M8</f>
        <v>0</v>
      </c>
      <c r="O11" s="1013">
        <f>huishoudens!N8</f>
        <v>21016.777059665543</v>
      </c>
      <c r="P11" s="1013">
        <f>huishoudens!O8</f>
        <v>240.75333333333336</v>
      </c>
      <c r="Q11" s="1014">
        <f>huishoudens!P8</f>
        <v>705.4666666666667</v>
      </c>
      <c r="R11" s="700">
        <f>SUM(C11:Q11)</f>
        <v>102247.85591420556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3001.1434399959676</v>
      </c>
      <c r="D13" s="1013">
        <f>industrie!C18</f>
        <v>0</v>
      </c>
      <c r="E13" s="1013">
        <f>industrie!D18</f>
        <v>1539.3085652228397</v>
      </c>
      <c r="F13" s="1013">
        <f>industrie!E18</f>
        <v>308.16183810811498</v>
      </c>
      <c r="G13" s="1013">
        <f>industrie!F18</f>
        <v>958.83908835815907</v>
      </c>
      <c r="H13" s="1013">
        <f>industrie!G18</f>
        <v>0</v>
      </c>
      <c r="I13" s="1013">
        <f>industrie!H18</f>
        <v>0</v>
      </c>
      <c r="J13" s="1013">
        <f>industrie!I18</f>
        <v>0</v>
      </c>
      <c r="K13" s="1013">
        <f>industrie!J18</f>
        <v>7.6611766038638525</v>
      </c>
      <c r="L13" s="1013">
        <f>industrie!K18</f>
        <v>0</v>
      </c>
      <c r="M13" s="1013">
        <f>industrie!L18</f>
        <v>0</v>
      </c>
      <c r="N13" s="1013">
        <f>industrie!M18</f>
        <v>0</v>
      </c>
      <c r="O13" s="1013">
        <f>industrie!N18</f>
        <v>707.05676961932977</v>
      </c>
      <c r="P13" s="1013">
        <f>industrie!O18</f>
        <v>0</v>
      </c>
      <c r="Q13" s="1014">
        <f>industrie!P18</f>
        <v>0</v>
      </c>
      <c r="R13" s="700">
        <f>SUM(C13:Q13)</f>
        <v>6522.1708779082746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51289.057895591242</v>
      </c>
      <c r="D16" s="732">
        <f t="shared" ref="D16:R16" ca="1" si="0">SUM(D9:D15)</f>
        <v>0</v>
      </c>
      <c r="E16" s="732">
        <f t="shared" ca="1" si="0"/>
        <v>51329.744116927664</v>
      </c>
      <c r="F16" s="732">
        <f t="shared" si="0"/>
        <v>4320.4783035075425</v>
      </c>
      <c r="G16" s="732">
        <f t="shared" ca="1" si="0"/>
        <v>33259.730148314848</v>
      </c>
      <c r="H16" s="732">
        <f t="shared" si="0"/>
        <v>0</v>
      </c>
      <c r="I16" s="732">
        <f t="shared" si="0"/>
        <v>0</v>
      </c>
      <c r="J16" s="732">
        <f t="shared" si="0"/>
        <v>0</v>
      </c>
      <c r="K16" s="732">
        <f t="shared" si="0"/>
        <v>289.81115220207266</v>
      </c>
      <c r="L16" s="732">
        <f t="shared" si="0"/>
        <v>0</v>
      </c>
      <c r="M16" s="732">
        <f t="shared" ca="1" si="0"/>
        <v>0</v>
      </c>
      <c r="N16" s="732">
        <f t="shared" si="0"/>
        <v>0</v>
      </c>
      <c r="O16" s="732">
        <f t="shared" ca="1" si="0"/>
        <v>24416.244088117681</v>
      </c>
      <c r="P16" s="732">
        <f t="shared" si="0"/>
        <v>242.31666666666669</v>
      </c>
      <c r="Q16" s="732">
        <f t="shared" si="0"/>
        <v>705.4666666666667</v>
      </c>
      <c r="R16" s="732">
        <f t="shared" ca="1" si="0"/>
        <v>165852.84903799437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598.24375918363432</v>
      </c>
      <c r="I19" s="1013">
        <f>transport!H54</f>
        <v>0</v>
      </c>
      <c r="J19" s="1013">
        <f>transport!I54</f>
        <v>0</v>
      </c>
      <c r="K19" s="1013">
        <f>transport!J54</f>
        <v>0</v>
      </c>
      <c r="L19" s="1013">
        <f>transport!K54</f>
        <v>0</v>
      </c>
      <c r="M19" s="1013">
        <f>transport!L54</f>
        <v>0</v>
      </c>
      <c r="N19" s="1013">
        <f>transport!M54</f>
        <v>33.977604528858912</v>
      </c>
      <c r="O19" s="1013">
        <f>transport!N54</f>
        <v>0</v>
      </c>
      <c r="P19" s="1013">
        <f>transport!O54</f>
        <v>0</v>
      </c>
      <c r="Q19" s="1014">
        <f>transport!P54</f>
        <v>0</v>
      </c>
      <c r="R19" s="700">
        <f>SUM(C19:Q19)</f>
        <v>632.22136371249326</v>
      </c>
      <c r="S19" s="67"/>
    </row>
    <row r="20" spans="1:19" s="473" customFormat="1">
      <c r="A20" s="809" t="s">
        <v>307</v>
      </c>
      <c r="B20" s="814"/>
      <c r="C20" s="1013">
        <f>transport!B14</f>
        <v>38.631028713514702</v>
      </c>
      <c r="D20" s="1013">
        <f>transport!C14</f>
        <v>0</v>
      </c>
      <c r="E20" s="1013">
        <f>transport!D14</f>
        <v>125.51958623196904</v>
      </c>
      <c r="F20" s="1013">
        <f>transport!E14</f>
        <v>183.13928383242231</v>
      </c>
      <c r="G20" s="1013">
        <f>transport!F14</f>
        <v>0</v>
      </c>
      <c r="H20" s="1013">
        <f>transport!G14</f>
        <v>70477.571914729517</v>
      </c>
      <c r="I20" s="1013">
        <f>transport!H14</f>
        <v>14417.430568311604</v>
      </c>
      <c r="J20" s="1013">
        <f>transport!I14</f>
        <v>0</v>
      </c>
      <c r="K20" s="1013">
        <f>transport!J14</f>
        <v>0</v>
      </c>
      <c r="L20" s="1013">
        <f>transport!K14</f>
        <v>0</v>
      </c>
      <c r="M20" s="1013">
        <f>transport!L14</f>
        <v>0</v>
      </c>
      <c r="N20" s="1013">
        <f>transport!M14</f>
        <v>4543.0095280733321</v>
      </c>
      <c r="O20" s="1013">
        <f>transport!N14</f>
        <v>0</v>
      </c>
      <c r="P20" s="1013">
        <f>transport!O14</f>
        <v>0</v>
      </c>
      <c r="Q20" s="1014">
        <f>transport!P14</f>
        <v>0</v>
      </c>
      <c r="R20" s="700">
        <f>SUM(C20:Q20)</f>
        <v>89785.301909892354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38.631028713514702</v>
      </c>
      <c r="D22" s="812">
        <f t="shared" ref="D22:R22" si="1">SUM(D18:D21)</f>
        <v>0</v>
      </c>
      <c r="E22" s="812">
        <f t="shared" si="1"/>
        <v>125.51958623196904</v>
      </c>
      <c r="F22" s="812">
        <f t="shared" si="1"/>
        <v>183.13928383242231</v>
      </c>
      <c r="G22" s="812">
        <f t="shared" si="1"/>
        <v>0</v>
      </c>
      <c r="H22" s="812">
        <f t="shared" si="1"/>
        <v>71075.815673913152</v>
      </c>
      <c r="I22" s="812">
        <f t="shared" si="1"/>
        <v>14417.430568311604</v>
      </c>
      <c r="J22" s="812">
        <f t="shared" si="1"/>
        <v>0</v>
      </c>
      <c r="K22" s="812">
        <f t="shared" si="1"/>
        <v>0</v>
      </c>
      <c r="L22" s="812">
        <f t="shared" si="1"/>
        <v>0</v>
      </c>
      <c r="M22" s="812">
        <f t="shared" si="1"/>
        <v>0</v>
      </c>
      <c r="N22" s="812">
        <f t="shared" si="1"/>
        <v>4576.9871326021912</v>
      </c>
      <c r="O22" s="812">
        <f t="shared" si="1"/>
        <v>0</v>
      </c>
      <c r="P22" s="812">
        <f t="shared" si="1"/>
        <v>0</v>
      </c>
      <c r="Q22" s="812">
        <f t="shared" si="1"/>
        <v>0</v>
      </c>
      <c r="R22" s="812">
        <f t="shared" si="1"/>
        <v>90417.523273604849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1653.4773774904711</v>
      </c>
      <c r="D24" s="1013">
        <f>+landbouw!C8</f>
        <v>12480.428571428572</v>
      </c>
      <c r="E24" s="1013">
        <f>+landbouw!D8</f>
        <v>95.682966889522135</v>
      </c>
      <c r="F24" s="1013">
        <f>+landbouw!E8</f>
        <v>48.600750427269332</v>
      </c>
      <c r="G24" s="1013">
        <f>+landbouw!F8</f>
        <v>6888.2974053975568</v>
      </c>
      <c r="H24" s="1013">
        <f>+landbouw!G8</f>
        <v>0</v>
      </c>
      <c r="I24" s="1013">
        <f>+landbouw!H8</f>
        <v>0</v>
      </c>
      <c r="J24" s="1013">
        <f>+landbouw!I8</f>
        <v>0</v>
      </c>
      <c r="K24" s="1013">
        <f>+landbouw!J8</f>
        <v>239.55336316522207</v>
      </c>
      <c r="L24" s="1013">
        <f>+landbouw!K8</f>
        <v>0</v>
      </c>
      <c r="M24" s="1013">
        <f>+landbouw!L8</f>
        <v>0</v>
      </c>
      <c r="N24" s="1013">
        <f>+landbouw!M8</f>
        <v>0</v>
      </c>
      <c r="O24" s="1013">
        <f>+landbouw!N8</f>
        <v>0</v>
      </c>
      <c r="P24" s="1013">
        <f>+landbouw!O8</f>
        <v>0</v>
      </c>
      <c r="Q24" s="1014">
        <f>+landbouw!P8</f>
        <v>0</v>
      </c>
      <c r="R24" s="700">
        <f>SUM(C24:Q24)</f>
        <v>21406.040434798615</v>
      </c>
      <c r="S24" s="67"/>
    </row>
    <row r="25" spans="1:19" s="473" customFormat="1" ht="15" thickBot="1">
      <c r="A25" s="831" t="s">
        <v>836</v>
      </c>
      <c r="B25" s="1016"/>
      <c r="C25" s="1017">
        <f>IF(Onbekend_ele_kWh="---",0,Onbekend_ele_kWh)/1000+IF(REST_rest_ele_kWh="---",0,REST_rest_ele_kWh)/1000</f>
        <v>481.50263725214603</v>
      </c>
      <c r="D25" s="1017"/>
      <c r="E25" s="1017">
        <f>IF(onbekend_gas_kWh="---",0,onbekend_gas_kWh)/1000+IF(REST_rest_gas_kWh="---",0,REST_rest_gas_kWh)/1000</f>
        <v>1213.6732545198499</v>
      </c>
      <c r="F25" s="1017"/>
      <c r="G25" s="1017"/>
      <c r="H25" s="1017"/>
      <c r="I25" s="1017"/>
      <c r="J25" s="1017"/>
      <c r="K25" s="1017"/>
      <c r="L25" s="1017"/>
      <c r="M25" s="1017"/>
      <c r="N25" s="1017"/>
      <c r="O25" s="1017"/>
      <c r="P25" s="1017"/>
      <c r="Q25" s="1018"/>
      <c r="R25" s="700">
        <f>SUM(C25:Q25)</f>
        <v>1695.175891771996</v>
      </c>
      <c r="S25" s="67"/>
    </row>
    <row r="26" spans="1:19" s="473" customFormat="1" ht="15.75" thickBot="1">
      <c r="A26" s="705" t="s">
        <v>837</v>
      </c>
      <c r="B26" s="817"/>
      <c r="C26" s="812">
        <f>SUM(C24:C25)</f>
        <v>2134.9800147426172</v>
      </c>
      <c r="D26" s="812">
        <f t="shared" ref="D26:R26" si="2">SUM(D24:D25)</f>
        <v>12480.428571428572</v>
      </c>
      <c r="E26" s="812">
        <f t="shared" si="2"/>
        <v>1309.356221409372</v>
      </c>
      <c r="F26" s="812">
        <f t="shared" si="2"/>
        <v>48.600750427269332</v>
      </c>
      <c r="G26" s="812">
        <f t="shared" si="2"/>
        <v>6888.2974053975568</v>
      </c>
      <c r="H26" s="812">
        <f t="shared" si="2"/>
        <v>0</v>
      </c>
      <c r="I26" s="812">
        <f t="shared" si="2"/>
        <v>0</v>
      </c>
      <c r="J26" s="812">
        <f t="shared" si="2"/>
        <v>0</v>
      </c>
      <c r="K26" s="812">
        <f t="shared" si="2"/>
        <v>239.55336316522207</v>
      </c>
      <c r="L26" s="812">
        <f t="shared" si="2"/>
        <v>0</v>
      </c>
      <c r="M26" s="812">
        <f t="shared" si="2"/>
        <v>0</v>
      </c>
      <c r="N26" s="812">
        <f t="shared" si="2"/>
        <v>0</v>
      </c>
      <c r="O26" s="812">
        <f t="shared" si="2"/>
        <v>0</v>
      </c>
      <c r="P26" s="812">
        <f t="shared" si="2"/>
        <v>0</v>
      </c>
      <c r="Q26" s="812">
        <f t="shared" si="2"/>
        <v>0</v>
      </c>
      <c r="R26" s="812">
        <f t="shared" si="2"/>
        <v>23101.216326570611</v>
      </c>
      <c r="S26" s="67"/>
    </row>
    <row r="27" spans="1:19" s="473" customFormat="1" ht="17.25" thickTop="1" thickBot="1">
      <c r="A27" s="706" t="s">
        <v>116</v>
      </c>
      <c r="B27" s="805"/>
      <c r="C27" s="707">
        <f ca="1">C22+C16+C26</f>
        <v>53462.668939047369</v>
      </c>
      <c r="D27" s="707">
        <f t="shared" ref="D27:R27" ca="1" si="3">D22+D16+D26</f>
        <v>12480.428571428572</v>
      </c>
      <c r="E27" s="707">
        <f t="shared" ca="1" si="3"/>
        <v>52764.619924569</v>
      </c>
      <c r="F27" s="707">
        <f t="shared" si="3"/>
        <v>4552.2183377672345</v>
      </c>
      <c r="G27" s="707">
        <f t="shared" ca="1" si="3"/>
        <v>40148.027553712403</v>
      </c>
      <c r="H27" s="707">
        <f t="shared" si="3"/>
        <v>71075.815673913152</v>
      </c>
      <c r="I27" s="707">
        <f t="shared" si="3"/>
        <v>14417.430568311604</v>
      </c>
      <c r="J27" s="707">
        <f t="shared" si="3"/>
        <v>0</v>
      </c>
      <c r="K27" s="707">
        <f t="shared" si="3"/>
        <v>529.36451536729476</v>
      </c>
      <c r="L27" s="707">
        <f t="shared" si="3"/>
        <v>0</v>
      </c>
      <c r="M27" s="707">
        <f t="shared" ca="1" si="3"/>
        <v>0</v>
      </c>
      <c r="N27" s="707">
        <f t="shared" si="3"/>
        <v>4576.9871326021912</v>
      </c>
      <c r="O27" s="707">
        <f t="shared" ca="1" si="3"/>
        <v>24416.244088117681</v>
      </c>
      <c r="P27" s="707">
        <f t="shared" si="3"/>
        <v>242.31666666666669</v>
      </c>
      <c r="Q27" s="707">
        <f t="shared" si="3"/>
        <v>705.4666666666667</v>
      </c>
      <c r="R27" s="707">
        <f t="shared" ca="1" si="3"/>
        <v>279371.58863816981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3070.6114564249183</v>
      </c>
      <c r="D40" s="1013">
        <f ca="1">tertiair!C20</f>
        <v>0</v>
      </c>
      <c r="E40" s="1013">
        <f ca="1">tertiair!D20</f>
        <v>3519.5772432458643</v>
      </c>
      <c r="F40" s="1013">
        <f>tertiair!E20</f>
        <v>90.160470464090722</v>
      </c>
      <c r="G40" s="1013">
        <f ca="1">tertiair!F20</f>
        <v>1414.9419607986183</v>
      </c>
      <c r="H40" s="1013">
        <f>tertiair!G20</f>
        <v>0</v>
      </c>
      <c r="I40" s="1013">
        <f>tertiair!H20</f>
        <v>0</v>
      </c>
      <c r="J40" s="1013">
        <f>tertiair!I20</f>
        <v>0</v>
      </c>
      <c r="K40" s="1013">
        <f>tertiair!J20</f>
        <v>2.3845389686018736E-2</v>
      </c>
      <c r="L40" s="1013">
        <f>tertiair!K20</f>
        <v>0</v>
      </c>
      <c r="M40" s="1013">
        <f ca="1">tertiair!L20</f>
        <v>0</v>
      </c>
      <c r="N40" s="1013">
        <f>tertiair!M20</f>
        <v>0</v>
      </c>
      <c r="O40" s="1013">
        <f ca="1">tertiair!N20</f>
        <v>0</v>
      </c>
      <c r="P40" s="1013">
        <f>tertiair!O20</f>
        <v>0</v>
      </c>
      <c r="Q40" s="774">
        <f>tertiair!P20</f>
        <v>0</v>
      </c>
      <c r="R40" s="850">
        <f t="shared" ca="1" si="4"/>
        <v>8095.3149763231777</v>
      </c>
    </row>
    <row r="41" spans="1:18">
      <c r="A41" s="822" t="s">
        <v>225</v>
      </c>
      <c r="B41" s="829"/>
      <c r="C41" s="1013">
        <f ca="1">huishoudens!B12</f>
        <v>1671.3246741212445</v>
      </c>
      <c r="D41" s="1013">
        <f ca="1">huishoudens!C12</f>
        <v>0</v>
      </c>
      <c r="E41" s="1013">
        <f>huishoudens!D12</f>
        <v>6538.0907381985107</v>
      </c>
      <c r="F41" s="1013">
        <f>huishoudens!E12</f>
        <v>820.63536718157934</v>
      </c>
      <c r="G41" s="1013">
        <f>huishoudens!F12</f>
        <v>7209.3959522098194</v>
      </c>
      <c r="H41" s="1013">
        <f>huishoudens!G12</f>
        <v>0</v>
      </c>
      <c r="I41" s="1013">
        <f>huishoudens!H12</f>
        <v>0</v>
      </c>
      <c r="J41" s="1013">
        <f>huishoudens!I12</f>
        <v>0</v>
      </c>
      <c r="K41" s="1013">
        <f>huishoudens!J12</f>
        <v>99.857245972079909</v>
      </c>
      <c r="L41" s="1013">
        <f>huishoudens!K12</f>
        <v>0</v>
      </c>
      <c r="M41" s="1013">
        <f>huishoudens!L12</f>
        <v>0</v>
      </c>
      <c r="N41" s="1013">
        <f>huishoudens!M12</f>
        <v>0</v>
      </c>
      <c r="O41" s="1013">
        <f>huishoudens!N12</f>
        <v>0</v>
      </c>
      <c r="P41" s="1013">
        <f>huishoudens!O12</f>
        <v>0</v>
      </c>
      <c r="Q41" s="774">
        <f>huishoudens!P12</f>
        <v>0</v>
      </c>
      <c r="R41" s="850">
        <f t="shared" ca="1" si="4"/>
        <v>16339.303977683234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294.71619703425523</v>
      </c>
      <c r="D43" s="1013">
        <f ca="1">industrie!C22</f>
        <v>0</v>
      </c>
      <c r="E43" s="1013">
        <f>industrie!D22</f>
        <v>310.94033017501363</v>
      </c>
      <c r="F43" s="1013">
        <f>industrie!E22</f>
        <v>69.9527372505421</v>
      </c>
      <c r="G43" s="1013">
        <f>industrie!F22</f>
        <v>256.01003659162848</v>
      </c>
      <c r="H43" s="1013">
        <f>industrie!G22</f>
        <v>0</v>
      </c>
      <c r="I43" s="1013">
        <f>industrie!H22</f>
        <v>0</v>
      </c>
      <c r="J43" s="1013">
        <f>industrie!I22</f>
        <v>0</v>
      </c>
      <c r="K43" s="1013">
        <f>industrie!J22</f>
        <v>2.7120565177678038</v>
      </c>
      <c r="L43" s="1013">
        <f>industrie!K22</f>
        <v>0</v>
      </c>
      <c r="M43" s="1013">
        <f>industrie!L22</f>
        <v>0</v>
      </c>
      <c r="N43" s="1013">
        <f>industrie!M22</f>
        <v>0</v>
      </c>
      <c r="O43" s="1013">
        <f>industrie!N22</f>
        <v>0</v>
      </c>
      <c r="P43" s="1013">
        <f>industrie!O22</f>
        <v>0</v>
      </c>
      <c r="Q43" s="774">
        <f>industrie!P22</f>
        <v>0</v>
      </c>
      <c r="R43" s="849">
        <f t="shared" ca="1" si="4"/>
        <v>934.33135756920728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5036.6523275804175</v>
      </c>
      <c r="D46" s="732">
        <f t="shared" ref="D46:Q46" ca="1" si="5">SUM(D39:D45)</f>
        <v>0</v>
      </c>
      <c r="E46" s="732">
        <f t="shared" ca="1" si="5"/>
        <v>10368.608311619388</v>
      </c>
      <c r="F46" s="732">
        <f t="shared" si="5"/>
        <v>980.74857489621218</v>
      </c>
      <c r="G46" s="732">
        <f t="shared" ca="1" si="5"/>
        <v>8880.3479496000655</v>
      </c>
      <c r="H46" s="732">
        <f t="shared" si="5"/>
        <v>0</v>
      </c>
      <c r="I46" s="732">
        <f t="shared" si="5"/>
        <v>0</v>
      </c>
      <c r="J46" s="732">
        <f t="shared" si="5"/>
        <v>0</v>
      </c>
      <c r="K46" s="732">
        <f t="shared" si="5"/>
        <v>102.59314787953373</v>
      </c>
      <c r="L46" s="732">
        <f t="shared" si="5"/>
        <v>0</v>
      </c>
      <c r="M46" s="732">
        <f t="shared" ca="1" si="5"/>
        <v>0</v>
      </c>
      <c r="N46" s="732">
        <f t="shared" si="5"/>
        <v>0</v>
      </c>
      <c r="O46" s="732">
        <f t="shared" ca="1" si="5"/>
        <v>0</v>
      </c>
      <c r="P46" s="732">
        <f t="shared" si="5"/>
        <v>0</v>
      </c>
      <c r="Q46" s="732">
        <f t="shared" si="5"/>
        <v>0</v>
      </c>
      <c r="R46" s="732">
        <f ca="1">SUM(R39:R45)</f>
        <v>25368.95031157562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159.73108370203036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159.73108370203036</v>
      </c>
    </row>
    <row r="50" spans="1:18">
      <c r="A50" s="825" t="s">
        <v>307</v>
      </c>
      <c r="B50" s="835"/>
      <c r="C50" s="703">
        <f ca="1">transport!B18</f>
        <v>3.7936173653810652</v>
      </c>
      <c r="D50" s="703">
        <f>transport!C18</f>
        <v>0</v>
      </c>
      <c r="E50" s="703">
        <f>transport!D18</f>
        <v>25.35495641885775</v>
      </c>
      <c r="F50" s="703">
        <f>transport!E18</f>
        <v>41.572617429959863</v>
      </c>
      <c r="G50" s="703">
        <f>transport!F18</f>
        <v>0</v>
      </c>
      <c r="H50" s="703">
        <f>transport!G18</f>
        <v>18817.511701232783</v>
      </c>
      <c r="I50" s="703">
        <f>transport!H18</f>
        <v>3589.9402115095891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22478.173103956571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3.7936173653810652</v>
      </c>
      <c r="D52" s="732">
        <f t="shared" ref="D52:Q52" ca="1" si="6">SUM(D48:D51)</f>
        <v>0</v>
      </c>
      <c r="E52" s="732">
        <f t="shared" si="6"/>
        <v>25.35495641885775</v>
      </c>
      <c r="F52" s="732">
        <f t="shared" si="6"/>
        <v>41.572617429959863</v>
      </c>
      <c r="G52" s="732">
        <f t="shared" si="6"/>
        <v>0</v>
      </c>
      <c r="H52" s="732">
        <f t="shared" si="6"/>
        <v>18977.242784934813</v>
      </c>
      <c r="I52" s="732">
        <f t="shared" si="6"/>
        <v>3589.9402115095891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22637.904187658602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162.37363335649829</v>
      </c>
      <c r="D54" s="703">
        <f ca="1">+landbouw!C12</f>
        <v>0</v>
      </c>
      <c r="E54" s="703">
        <f>+landbouw!D12</f>
        <v>19.327959311683472</v>
      </c>
      <c r="F54" s="703">
        <f>+landbouw!E12</f>
        <v>11.032370346990138</v>
      </c>
      <c r="G54" s="703">
        <f>+landbouw!F12</f>
        <v>1839.1754072411477</v>
      </c>
      <c r="H54" s="703">
        <f>+landbouw!G12</f>
        <v>0</v>
      </c>
      <c r="I54" s="703">
        <f>+landbouw!H12</f>
        <v>0</v>
      </c>
      <c r="J54" s="703">
        <f>+landbouw!I12</f>
        <v>0</v>
      </c>
      <c r="K54" s="703">
        <f>+landbouw!J12</f>
        <v>84.801890560488602</v>
      </c>
      <c r="L54" s="703">
        <f>+landbouw!K12</f>
        <v>0</v>
      </c>
      <c r="M54" s="703">
        <f>+landbouw!L12</f>
        <v>0</v>
      </c>
      <c r="N54" s="703">
        <f>+landbouw!M12</f>
        <v>0</v>
      </c>
      <c r="O54" s="703">
        <f>+landbouw!N12</f>
        <v>0</v>
      </c>
      <c r="P54" s="703">
        <f>+landbouw!O12</f>
        <v>0</v>
      </c>
      <c r="Q54" s="704">
        <f>+landbouw!P12</f>
        <v>0</v>
      </c>
      <c r="R54" s="731">
        <f ca="1">SUM(C54:Q54)</f>
        <v>2116.7112608168081</v>
      </c>
    </row>
    <row r="55" spans="1:18" ht="15" thickBot="1">
      <c r="A55" s="825" t="s">
        <v>836</v>
      </c>
      <c r="B55" s="835"/>
      <c r="C55" s="703">
        <f ca="1">C25*'EF ele_warmte'!B12</f>
        <v>47.284186494300869</v>
      </c>
      <c r="D55" s="703"/>
      <c r="E55" s="703">
        <f>E25*EF_CO2_aardgas</f>
        <v>245.16199741300971</v>
      </c>
      <c r="F55" s="703"/>
      <c r="G55" s="703"/>
      <c r="H55" s="703"/>
      <c r="I55" s="703"/>
      <c r="J55" s="703"/>
      <c r="K55" s="703"/>
      <c r="L55" s="703"/>
      <c r="M55" s="703"/>
      <c r="N55" s="703"/>
      <c r="O55" s="703"/>
      <c r="P55" s="703"/>
      <c r="Q55" s="704"/>
      <c r="R55" s="731">
        <f ca="1">SUM(C55:Q55)</f>
        <v>292.44618390731057</v>
      </c>
    </row>
    <row r="56" spans="1:18" ht="15.75" thickBot="1">
      <c r="A56" s="823" t="s">
        <v>837</v>
      </c>
      <c r="B56" s="836"/>
      <c r="C56" s="732">
        <f ca="1">SUM(C54:C55)</f>
        <v>209.65781985079917</v>
      </c>
      <c r="D56" s="732">
        <f t="shared" ref="D56:Q56" ca="1" si="7">SUM(D54:D55)</f>
        <v>0</v>
      </c>
      <c r="E56" s="732">
        <f t="shared" si="7"/>
        <v>264.48995672469317</v>
      </c>
      <c r="F56" s="732">
        <f t="shared" si="7"/>
        <v>11.032370346990138</v>
      </c>
      <c r="G56" s="732">
        <f t="shared" si="7"/>
        <v>1839.1754072411477</v>
      </c>
      <c r="H56" s="732">
        <f t="shared" si="7"/>
        <v>0</v>
      </c>
      <c r="I56" s="732">
        <f t="shared" si="7"/>
        <v>0</v>
      </c>
      <c r="J56" s="732">
        <f t="shared" si="7"/>
        <v>0</v>
      </c>
      <c r="K56" s="732">
        <f t="shared" si="7"/>
        <v>84.801890560488602</v>
      </c>
      <c r="L56" s="732">
        <f t="shared" si="7"/>
        <v>0</v>
      </c>
      <c r="M56" s="732">
        <f t="shared" si="7"/>
        <v>0</v>
      </c>
      <c r="N56" s="732">
        <f t="shared" si="7"/>
        <v>0</v>
      </c>
      <c r="O56" s="732">
        <f t="shared" si="7"/>
        <v>0</v>
      </c>
      <c r="P56" s="732">
        <f t="shared" si="7"/>
        <v>0</v>
      </c>
      <c r="Q56" s="733">
        <f t="shared" si="7"/>
        <v>0</v>
      </c>
      <c r="R56" s="734">
        <f ca="1">SUM(R54:R55)</f>
        <v>2409.1574447241187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5250.1037647965977</v>
      </c>
      <c r="D61" s="740">
        <f t="shared" ref="D61:Q61" ca="1" si="8">D46+D52+D56</f>
        <v>0</v>
      </c>
      <c r="E61" s="740">
        <f t="shared" ca="1" si="8"/>
        <v>10658.453224762939</v>
      </c>
      <c r="F61" s="740">
        <f t="shared" si="8"/>
        <v>1033.3535626731623</v>
      </c>
      <c r="G61" s="740">
        <f t="shared" ca="1" si="8"/>
        <v>10719.523356841213</v>
      </c>
      <c r="H61" s="740">
        <f t="shared" si="8"/>
        <v>18977.242784934813</v>
      </c>
      <c r="I61" s="740">
        <f t="shared" si="8"/>
        <v>3589.9402115095891</v>
      </c>
      <c r="J61" s="740">
        <f t="shared" si="8"/>
        <v>0</v>
      </c>
      <c r="K61" s="740">
        <f t="shared" si="8"/>
        <v>187.39503844002235</v>
      </c>
      <c r="L61" s="740">
        <f t="shared" si="8"/>
        <v>0</v>
      </c>
      <c r="M61" s="740">
        <f t="shared" ca="1" si="8"/>
        <v>0</v>
      </c>
      <c r="N61" s="740">
        <f t="shared" si="8"/>
        <v>0</v>
      </c>
      <c r="O61" s="740">
        <f t="shared" ca="1" si="8"/>
        <v>0</v>
      </c>
      <c r="P61" s="740">
        <f t="shared" si="8"/>
        <v>0</v>
      </c>
      <c r="Q61" s="740">
        <f t="shared" si="8"/>
        <v>0</v>
      </c>
      <c r="R61" s="740">
        <f ca="1">R46+R52+R56</f>
        <v>50416.011943958343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9.8201303245489396E-2</v>
      </c>
      <c r="D63" s="781">
        <f t="shared" ca="1" si="9"/>
        <v>0</v>
      </c>
      <c r="E63" s="1024">
        <f t="shared" ca="1" si="9"/>
        <v>0.20200000000000001</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15502.033127291692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5468.2101791918885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8736.2999999999993</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10278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29706.543306483578</v>
      </c>
      <c r="C78" s="755">
        <f>SUM(C72:C77)</f>
        <v>0</v>
      </c>
      <c r="D78" s="756">
        <f t="shared" ref="D78:H78" si="10">SUM(D76:D77)</f>
        <v>0</v>
      </c>
      <c r="E78" s="756">
        <f t="shared" si="10"/>
        <v>0</v>
      </c>
      <c r="F78" s="756">
        <f t="shared" si="10"/>
        <v>0</v>
      </c>
      <c r="G78" s="756">
        <f t="shared" si="10"/>
        <v>0</v>
      </c>
      <c r="H78" s="756">
        <f t="shared" si="10"/>
        <v>0</v>
      </c>
      <c r="I78" s="756">
        <f>SUM(I76:I77)</f>
        <v>0</v>
      </c>
      <c r="J78" s="756">
        <f>SUM(J76:J77)</f>
        <v>10278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12480.428571428572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14682.857142857145</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12480.428571428572</v>
      </c>
      <c r="C90" s="755">
        <f>SUM(C87:C89)</f>
        <v>0</v>
      </c>
      <c r="D90" s="755">
        <f t="shared" ref="D90:H90" si="12">SUM(D87:D89)</f>
        <v>0</v>
      </c>
      <c r="E90" s="755">
        <f t="shared" si="12"/>
        <v>0</v>
      </c>
      <c r="F90" s="755">
        <f t="shared" si="12"/>
        <v>0</v>
      </c>
      <c r="G90" s="755">
        <f t="shared" si="12"/>
        <v>0</v>
      </c>
      <c r="H90" s="755">
        <f t="shared" si="12"/>
        <v>0</v>
      </c>
      <c r="I90" s="755">
        <f>SUM(I87:I89)</f>
        <v>0</v>
      </c>
      <c r="J90" s="755">
        <f>SUM(J87:J89)</f>
        <v>14682.857142857145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15502.033127291692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5468.2101791918885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8736.2999999999993</v>
      </c>
      <c r="C8" s="570">
        <f>B101</f>
        <v>0</v>
      </c>
      <c r="D8" s="1044"/>
      <c r="E8" s="1044">
        <f>E101</f>
        <v>0</v>
      </c>
      <c r="F8" s="1045"/>
      <c r="G8" s="571"/>
      <c r="H8" s="1044">
        <f>I101</f>
        <v>0</v>
      </c>
      <c r="I8" s="1044">
        <f>G101+F101</f>
        <v>0</v>
      </c>
      <c r="J8" s="1044">
        <f>H101+D101+C101</f>
        <v>10278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29706.543306483578</v>
      </c>
      <c r="C10" s="583">
        <f t="shared" ref="C10:L10" si="0">SUM(C8:C9)</f>
        <v>0</v>
      </c>
      <c r="D10" s="583">
        <f t="shared" si="0"/>
        <v>0</v>
      </c>
      <c r="E10" s="583">
        <f t="shared" si="0"/>
        <v>0</v>
      </c>
      <c r="F10" s="583">
        <f t="shared" si="0"/>
        <v>0</v>
      </c>
      <c r="G10" s="583">
        <f t="shared" si="0"/>
        <v>0</v>
      </c>
      <c r="H10" s="583">
        <f t="shared" si="0"/>
        <v>0</v>
      </c>
      <c r="I10" s="583">
        <f t="shared" si="0"/>
        <v>0</v>
      </c>
      <c r="J10" s="583">
        <f t="shared" si="0"/>
        <v>10278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12480.428571428572</v>
      </c>
      <c r="C17" s="595">
        <f>B102</f>
        <v>0</v>
      </c>
      <c r="D17" s="596"/>
      <c r="E17" s="596">
        <f>E102</f>
        <v>0</v>
      </c>
      <c r="F17" s="1050"/>
      <c r="G17" s="597"/>
      <c r="H17" s="595">
        <f>I102</f>
        <v>0</v>
      </c>
      <c r="I17" s="596">
        <f>G102+F102</f>
        <v>0</v>
      </c>
      <c r="J17" s="596">
        <f>H102+D102+C102</f>
        <v>14682.857142857145</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12480.428571428572</v>
      </c>
      <c r="C20" s="582">
        <f>SUM(C17:C19)</f>
        <v>0</v>
      </c>
      <c r="D20" s="582">
        <f t="shared" ref="D20:L20" si="1">SUM(D17:D19)</f>
        <v>0</v>
      </c>
      <c r="E20" s="582">
        <f t="shared" si="1"/>
        <v>0</v>
      </c>
      <c r="F20" s="582">
        <f t="shared" si="1"/>
        <v>0</v>
      </c>
      <c r="G20" s="582">
        <f t="shared" si="1"/>
        <v>0</v>
      </c>
      <c r="H20" s="582">
        <f t="shared" si="1"/>
        <v>0</v>
      </c>
      <c r="I20" s="582">
        <f t="shared" si="1"/>
        <v>0</v>
      </c>
      <c r="J20" s="582">
        <f t="shared" si="1"/>
        <v>14682.857142857145</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13021</v>
      </c>
      <c r="C28" s="796">
        <v>2450</v>
      </c>
      <c r="D28" s="653" t="s">
        <v>881</v>
      </c>
      <c r="E28" s="652" t="s">
        <v>882</v>
      </c>
      <c r="F28" s="652" t="s">
        <v>883</v>
      </c>
      <c r="G28" s="652" t="s">
        <v>884</v>
      </c>
      <c r="H28" s="652" t="s">
        <v>885</v>
      </c>
      <c r="I28" s="652" t="s">
        <v>882</v>
      </c>
      <c r="J28" s="795">
        <v>40780</v>
      </c>
      <c r="K28" s="795">
        <v>40780</v>
      </c>
      <c r="L28" s="652" t="s">
        <v>886</v>
      </c>
      <c r="M28" s="652">
        <v>732</v>
      </c>
      <c r="N28" s="652">
        <v>3294</v>
      </c>
      <c r="O28" s="652">
        <v>4705.7142857142862</v>
      </c>
      <c r="P28" s="652">
        <v>0</v>
      </c>
      <c r="Q28" s="652">
        <v>9411.4285714285725</v>
      </c>
      <c r="R28" s="652">
        <v>0</v>
      </c>
      <c r="S28" s="652">
        <v>0</v>
      </c>
      <c r="T28" s="652">
        <v>0</v>
      </c>
      <c r="U28" s="652">
        <v>0</v>
      </c>
      <c r="V28" s="652">
        <v>0</v>
      </c>
      <c r="W28" s="652">
        <v>0</v>
      </c>
      <c r="X28" s="652">
        <v>10</v>
      </c>
      <c r="Y28" s="652" t="s">
        <v>112</v>
      </c>
      <c r="Z28" s="654" t="s">
        <v>112</v>
      </c>
    </row>
    <row r="29" spans="1:26" s="606" customFormat="1" ht="25.5">
      <c r="A29" s="605"/>
      <c r="B29" s="796">
        <v>13021</v>
      </c>
      <c r="C29" s="796">
        <v>2450</v>
      </c>
      <c r="D29" s="653" t="s">
        <v>881</v>
      </c>
      <c r="E29" s="652" t="s">
        <v>882</v>
      </c>
      <c r="F29" s="652" t="s">
        <v>887</v>
      </c>
      <c r="G29" s="652" t="s">
        <v>884</v>
      </c>
      <c r="H29" s="652" t="s">
        <v>885</v>
      </c>
      <c r="I29" s="652" t="s">
        <v>882</v>
      </c>
      <c r="J29" s="795">
        <v>41255</v>
      </c>
      <c r="K29" s="795">
        <v>41255</v>
      </c>
      <c r="L29" s="652" t="s">
        <v>886</v>
      </c>
      <c r="M29" s="652">
        <v>1190</v>
      </c>
      <c r="N29" s="652">
        <v>5355</v>
      </c>
      <c r="O29" s="652">
        <v>7650</v>
      </c>
      <c r="P29" s="652">
        <v>0</v>
      </c>
      <c r="Q29" s="652">
        <v>15300.000000000002</v>
      </c>
      <c r="R29" s="652">
        <v>0</v>
      </c>
      <c r="S29" s="652">
        <v>0</v>
      </c>
      <c r="T29" s="652">
        <v>0</v>
      </c>
      <c r="U29" s="652">
        <v>0</v>
      </c>
      <c r="V29" s="652">
        <v>0</v>
      </c>
      <c r="W29" s="652">
        <v>0</v>
      </c>
      <c r="X29" s="652">
        <v>10</v>
      </c>
      <c r="Y29" s="652" t="s">
        <v>112</v>
      </c>
      <c r="Z29" s="654" t="s">
        <v>112</v>
      </c>
    </row>
    <row r="30" spans="1:26" s="606" customFormat="1" ht="25.5">
      <c r="A30" s="605"/>
      <c r="B30" s="796">
        <v>13021</v>
      </c>
      <c r="C30" s="796">
        <v>2450</v>
      </c>
      <c r="D30" s="653" t="s">
        <v>888</v>
      </c>
      <c r="E30" s="652" t="s">
        <v>889</v>
      </c>
      <c r="F30" s="652" t="s">
        <v>890</v>
      </c>
      <c r="G30" s="652" t="s">
        <v>884</v>
      </c>
      <c r="H30" s="652" t="s">
        <v>885</v>
      </c>
      <c r="I30" s="652" t="s">
        <v>891</v>
      </c>
      <c r="J30" s="795">
        <v>41086</v>
      </c>
      <c r="K30" s="795">
        <v>41275</v>
      </c>
      <c r="L30" s="652" t="s">
        <v>886</v>
      </c>
      <c r="M30" s="652">
        <v>19.399999999999999</v>
      </c>
      <c r="N30" s="652">
        <v>87.299999999999983</v>
      </c>
      <c r="O30" s="652">
        <v>124.71428571428569</v>
      </c>
      <c r="P30" s="652">
        <v>0</v>
      </c>
      <c r="Q30" s="652">
        <v>249.42857142857139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1941.4</v>
      </c>
      <c r="N58" s="610">
        <f>SUM(N28:N57)</f>
        <v>8736.2999999999993</v>
      </c>
      <c r="O58" s="610">
        <f t="shared" ref="O58:W58" si="2">SUM(O28:O57)</f>
        <v>12480.428571428572</v>
      </c>
      <c r="P58" s="610">
        <f t="shared" si="2"/>
        <v>0</v>
      </c>
      <c r="Q58" s="610">
        <f t="shared" si="2"/>
        <v>24960.857142857145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1941.4</v>
      </c>
      <c r="N61" s="615">
        <f t="shared" si="4"/>
        <v>8736.2999999999993</v>
      </c>
      <c r="O61" s="615">
        <f t="shared" si="4"/>
        <v>12480.428571428572</v>
      </c>
      <c r="P61" s="615">
        <f t="shared" si="4"/>
        <v>0</v>
      </c>
      <c r="Q61" s="615">
        <f t="shared" si="4"/>
        <v>24960.857142857145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10278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14682.857142857145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17019.373662925518</v>
      </c>
      <c r="C4" s="477">
        <f>huishoudens!C8</f>
        <v>0</v>
      </c>
      <c r="D4" s="477">
        <f>huishoudens!D8</f>
        <v>32366.785832665893</v>
      </c>
      <c r="E4" s="477">
        <f>huishoudens!E8</f>
        <v>3615.1337761303053</v>
      </c>
      <c r="F4" s="477">
        <f>huishoudens!F8</f>
        <v>27001.482967077973</v>
      </c>
      <c r="G4" s="477">
        <f>huishoudens!G8</f>
        <v>0</v>
      </c>
      <c r="H4" s="477">
        <f>huishoudens!H8</f>
        <v>0</v>
      </c>
      <c r="I4" s="477">
        <f>huishoudens!I8</f>
        <v>0</v>
      </c>
      <c r="J4" s="477">
        <f>huishoudens!J8</f>
        <v>282.08261574033872</v>
      </c>
      <c r="K4" s="477">
        <f>huishoudens!K8</f>
        <v>0</v>
      </c>
      <c r="L4" s="477">
        <f>huishoudens!L8</f>
        <v>0</v>
      </c>
      <c r="M4" s="477">
        <f>huishoudens!M8</f>
        <v>0</v>
      </c>
      <c r="N4" s="477">
        <f>huishoudens!N8</f>
        <v>21016.777059665543</v>
      </c>
      <c r="O4" s="477">
        <f>huishoudens!O8</f>
        <v>240.75333333333336</v>
      </c>
      <c r="P4" s="478">
        <f>huishoudens!P8</f>
        <v>705.4666666666667</v>
      </c>
      <c r="Q4" s="479">
        <f>SUM(B4:P4)</f>
        <v>102247.85591420556</v>
      </c>
    </row>
    <row r="5" spans="1:17">
      <c r="A5" s="476" t="s">
        <v>156</v>
      </c>
      <c r="B5" s="477">
        <f ca="1">tertiair!B16</f>
        <v>30831.030792669757</v>
      </c>
      <c r="C5" s="477">
        <f ca="1">tertiair!C16</f>
        <v>0</v>
      </c>
      <c r="D5" s="477">
        <f ca="1">tertiair!D16</f>
        <v>17423.649719038931</v>
      </c>
      <c r="E5" s="477">
        <f>tertiair!E16</f>
        <v>397.18268926912214</v>
      </c>
      <c r="F5" s="477">
        <f ca="1">tertiair!F16</f>
        <v>5299.4080928787198</v>
      </c>
      <c r="G5" s="477">
        <f>tertiair!G16</f>
        <v>0</v>
      </c>
      <c r="H5" s="477">
        <f>tertiair!H16</f>
        <v>0</v>
      </c>
      <c r="I5" s="477">
        <f>tertiair!I16</f>
        <v>0</v>
      </c>
      <c r="J5" s="477">
        <f>tertiair!J16</f>
        <v>6.7359857870109424E-2</v>
      </c>
      <c r="K5" s="477">
        <f>tertiair!K16</f>
        <v>0</v>
      </c>
      <c r="L5" s="477">
        <f ca="1">tertiair!L16</f>
        <v>0</v>
      </c>
      <c r="M5" s="477">
        <f>tertiair!M16</f>
        <v>0</v>
      </c>
      <c r="N5" s="477">
        <f ca="1">tertiair!N16</f>
        <v>2692.4102588328087</v>
      </c>
      <c r="O5" s="477">
        <f>tertiair!O16</f>
        <v>1.5633333333333335</v>
      </c>
      <c r="P5" s="478">
        <f>tertiair!P16</f>
        <v>0</v>
      </c>
      <c r="Q5" s="476">
        <f t="shared" ref="Q5:Q14" ca="1" si="0">SUM(B5:P5)</f>
        <v>56645.312245880552</v>
      </c>
    </row>
    <row r="6" spans="1:17">
      <c r="A6" s="476" t="s">
        <v>194</v>
      </c>
      <c r="B6" s="477">
        <f>'openbare verlichting'!B8</f>
        <v>437.51</v>
      </c>
      <c r="C6" s="477"/>
      <c r="D6" s="477"/>
      <c r="E6" s="477"/>
      <c r="F6" s="477"/>
      <c r="G6" s="477"/>
      <c r="H6" s="477"/>
      <c r="I6" s="477"/>
      <c r="J6" s="477"/>
      <c r="K6" s="477"/>
      <c r="L6" s="477"/>
      <c r="M6" s="477"/>
      <c r="N6" s="477"/>
      <c r="O6" s="477"/>
      <c r="P6" s="478"/>
      <c r="Q6" s="476">
        <f t="shared" si="0"/>
        <v>437.51</v>
      </c>
    </row>
    <row r="7" spans="1:17">
      <c r="A7" s="476" t="s">
        <v>112</v>
      </c>
      <c r="B7" s="477">
        <f>landbouw!B8</f>
        <v>1653.4773774904711</v>
      </c>
      <c r="C7" s="477">
        <f>landbouw!C8</f>
        <v>12480.428571428572</v>
      </c>
      <c r="D7" s="477">
        <f>landbouw!D8</f>
        <v>95.682966889522135</v>
      </c>
      <c r="E7" s="477">
        <f>landbouw!E8</f>
        <v>48.600750427269332</v>
      </c>
      <c r="F7" s="477">
        <f>landbouw!F8</f>
        <v>6888.2974053975568</v>
      </c>
      <c r="G7" s="477">
        <f>landbouw!G8</f>
        <v>0</v>
      </c>
      <c r="H7" s="477">
        <f>landbouw!H8</f>
        <v>0</v>
      </c>
      <c r="I7" s="477">
        <f>landbouw!I8</f>
        <v>0</v>
      </c>
      <c r="J7" s="477">
        <f>landbouw!J8</f>
        <v>239.55336316522207</v>
      </c>
      <c r="K7" s="477">
        <f>landbouw!K8</f>
        <v>0</v>
      </c>
      <c r="L7" s="477">
        <f>landbouw!L8</f>
        <v>0</v>
      </c>
      <c r="M7" s="477">
        <f>landbouw!M8</f>
        <v>0</v>
      </c>
      <c r="N7" s="477">
        <f>landbouw!N8</f>
        <v>0</v>
      </c>
      <c r="O7" s="477">
        <f>landbouw!O8</f>
        <v>0</v>
      </c>
      <c r="P7" s="478">
        <f>landbouw!P8</f>
        <v>0</v>
      </c>
      <c r="Q7" s="476">
        <f t="shared" si="0"/>
        <v>21406.040434798615</v>
      </c>
    </row>
    <row r="8" spans="1:17">
      <c r="A8" s="476" t="s">
        <v>635</v>
      </c>
      <c r="B8" s="477">
        <f>industrie!B18</f>
        <v>3001.1434399959676</v>
      </c>
      <c r="C8" s="477">
        <f>industrie!C18</f>
        <v>0</v>
      </c>
      <c r="D8" s="477">
        <f>industrie!D18</f>
        <v>1539.3085652228397</v>
      </c>
      <c r="E8" s="477">
        <f>industrie!E18</f>
        <v>308.16183810811498</v>
      </c>
      <c r="F8" s="477">
        <f>industrie!F18</f>
        <v>958.83908835815907</v>
      </c>
      <c r="G8" s="477">
        <f>industrie!G18</f>
        <v>0</v>
      </c>
      <c r="H8" s="477">
        <f>industrie!H18</f>
        <v>0</v>
      </c>
      <c r="I8" s="477">
        <f>industrie!I18</f>
        <v>0</v>
      </c>
      <c r="J8" s="477">
        <f>industrie!J18</f>
        <v>7.6611766038638525</v>
      </c>
      <c r="K8" s="477">
        <f>industrie!K18</f>
        <v>0</v>
      </c>
      <c r="L8" s="477">
        <f>industrie!L18</f>
        <v>0</v>
      </c>
      <c r="M8" s="477">
        <f>industrie!M18</f>
        <v>0</v>
      </c>
      <c r="N8" s="477">
        <f>industrie!N18</f>
        <v>707.05676961932977</v>
      </c>
      <c r="O8" s="477">
        <f>industrie!O18</f>
        <v>0</v>
      </c>
      <c r="P8" s="478">
        <f>industrie!P18</f>
        <v>0</v>
      </c>
      <c r="Q8" s="476">
        <f t="shared" si="0"/>
        <v>6522.1708779082746</v>
      </c>
    </row>
    <row r="9" spans="1:17" s="482" customFormat="1">
      <c r="A9" s="480" t="s">
        <v>561</v>
      </c>
      <c r="B9" s="481">
        <f>transport!B14</f>
        <v>38.631028713514702</v>
      </c>
      <c r="C9" s="481">
        <f>transport!C14</f>
        <v>0</v>
      </c>
      <c r="D9" s="481">
        <f>transport!D14</f>
        <v>125.51958623196904</v>
      </c>
      <c r="E9" s="481">
        <f>transport!E14</f>
        <v>183.13928383242231</v>
      </c>
      <c r="F9" s="481">
        <f>transport!F14</f>
        <v>0</v>
      </c>
      <c r="G9" s="481">
        <f>transport!G14</f>
        <v>70477.571914729517</v>
      </c>
      <c r="H9" s="481">
        <f>transport!H14</f>
        <v>14417.430568311604</v>
      </c>
      <c r="I9" s="481">
        <f>transport!I14</f>
        <v>0</v>
      </c>
      <c r="J9" s="481">
        <f>transport!J14</f>
        <v>0</v>
      </c>
      <c r="K9" s="481">
        <f>transport!K14</f>
        <v>0</v>
      </c>
      <c r="L9" s="481">
        <f>transport!L14</f>
        <v>0</v>
      </c>
      <c r="M9" s="481">
        <f>transport!M14</f>
        <v>4543.0095280733321</v>
      </c>
      <c r="N9" s="481">
        <f>transport!N14</f>
        <v>0</v>
      </c>
      <c r="O9" s="481">
        <f>transport!O14</f>
        <v>0</v>
      </c>
      <c r="P9" s="481">
        <f>transport!P14</f>
        <v>0</v>
      </c>
      <c r="Q9" s="480">
        <f>SUM(B9:P9)</f>
        <v>89785.301909892354</v>
      </c>
    </row>
    <row r="10" spans="1:17">
      <c r="A10" s="476" t="s">
        <v>551</v>
      </c>
      <c r="B10" s="477">
        <f>transport!B54</f>
        <v>0</v>
      </c>
      <c r="C10" s="477">
        <f>transport!C54</f>
        <v>0</v>
      </c>
      <c r="D10" s="477">
        <f>transport!D54</f>
        <v>0</v>
      </c>
      <c r="E10" s="477">
        <f>transport!E54</f>
        <v>0</v>
      </c>
      <c r="F10" s="477">
        <f>transport!F54</f>
        <v>0</v>
      </c>
      <c r="G10" s="477">
        <f>transport!G54</f>
        <v>598.24375918363432</v>
      </c>
      <c r="H10" s="477">
        <f>transport!H54</f>
        <v>0</v>
      </c>
      <c r="I10" s="477">
        <f>transport!I54</f>
        <v>0</v>
      </c>
      <c r="J10" s="477">
        <f>transport!J54</f>
        <v>0</v>
      </c>
      <c r="K10" s="477">
        <f>transport!K54</f>
        <v>0</v>
      </c>
      <c r="L10" s="477">
        <f>transport!L54</f>
        <v>0</v>
      </c>
      <c r="M10" s="477">
        <f>transport!M54</f>
        <v>33.977604528858912</v>
      </c>
      <c r="N10" s="477">
        <f>transport!N54</f>
        <v>0</v>
      </c>
      <c r="O10" s="477">
        <f>transport!O54</f>
        <v>0</v>
      </c>
      <c r="P10" s="478">
        <f>transport!P54</f>
        <v>0</v>
      </c>
      <c r="Q10" s="476">
        <f t="shared" si="0"/>
        <v>632.22136371249326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481.50263725214603</v>
      </c>
      <c r="C14" s="484"/>
      <c r="D14" s="484">
        <f>'SEAP template'!E25</f>
        <v>1213.6732545198499</v>
      </c>
      <c r="E14" s="484"/>
      <c r="F14" s="484"/>
      <c r="G14" s="484"/>
      <c r="H14" s="484"/>
      <c r="I14" s="484"/>
      <c r="J14" s="484"/>
      <c r="K14" s="484"/>
      <c r="L14" s="484"/>
      <c r="M14" s="484"/>
      <c r="N14" s="484"/>
      <c r="O14" s="484"/>
      <c r="P14" s="485"/>
      <c r="Q14" s="476">
        <f t="shared" si="0"/>
        <v>1695.175891771996</v>
      </c>
    </row>
    <row r="15" spans="1:17" s="486" customFormat="1">
      <c r="A15" s="1039" t="s">
        <v>555</v>
      </c>
      <c r="B15" s="987">
        <f ca="1">SUM(B4:B14)</f>
        <v>53462.668939047369</v>
      </c>
      <c r="C15" s="987">
        <f t="shared" ref="C15:Q15" ca="1" si="1">SUM(C4:C14)</f>
        <v>12480.428571428572</v>
      </c>
      <c r="D15" s="987">
        <f t="shared" ca="1" si="1"/>
        <v>52764.619924569</v>
      </c>
      <c r="E15" s="987">
        <f t="shared" si="1"/>
        <v>4552.2183377672345</v>
      </c>
      <c r="F15" s="987">
        <f t="shared" ca="1" si="1"/>
        <v>40148.027553712411</v>
      </c>
      <c r="G15" s="987">
        <f t="shared" si="1"/>
        <v>71075.815673913152</v>
      </c>
      <c r="H15" s="987">
        <f t="shared" si="1"/>
        <v>14417.430568311604</v>
      </c>
      <c r="I15" s="987">
        <f t="shared" si="1"/>
        <v>0</v>
      </c>
      <c r="J15" s="987">
        <f t="shared" si="1"/>
        <v>529.36451536729476</v>
      </c>
      <c r="K15" s="987">
        <f t="shared" si="1"/>
        <v>0</v>
      </c>
      <c r="L15" s="987">
        <f t="shared" ca="1" si="1"/>
        <v>0</v>
      </c>
      <c r="M15" s="987">
        <f t="shared" si="1"/>
        <v>4576.9871326021912</v>
      </c>
      <c r="N15" s="987">
        <f t="shared" ca="1" si="1"/>
        <v>24416.244088117681</v>
      </c>
      <c r="O15" s="987">
        <f t="shared" si="1"/>
        <v>242.31666666666669</v>
      </c>
      <c r="P15" s="987">
        <f t="shared" si="1"/>
        <v>705.4666666666667</v>
      </c>
      <c r="Q15" s="987">
        <f t="shared" ca="1" si="1"/>
        <v>279371.58863816981</v>
      </c>
    </row>
    <row r="17" spans="1:17">
      <c r="A17" s="487" t="s">
        <v>556</v>
      </c>
      <c r="B17" s="786">
        <f ca="1">huishoudens!B10</f>
        <v>9.8201303245489396E-2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1671.3246741212445</v>
      </c>
      <c r="C22" s="477">
        <f t="shared" ref="C22:C32" ca="1" si="3">C4*$C$17</f>
        <v>0</v>
      </c>
      <c r="D22" s="477">
        <f t="shared" ref="D22:D32" si="4">D4*$D$17</f>
        <v>6538.0907381985107</v>
      </c>
      <c r="E22" s="477">
        <f t="shared" ref="E22:E32" si="5">E4*$E$17</f>
        <v>820.63536718157934</v>
      </c>
      <c r="F22" s="477">
        <f t="shared" ref="F22:F32" si="6">F4*$F$17</f>
        <v>7209.3959522098194</v>
      </c>
      <c r="G22" s="477">
        <f t="shared" ref="G22:G32" si="7">G4*$G$17</f>
        <v>0</v>
      </c>
      <c r="H22" s="477">
        <f t="shared" ref="H22:H32" si="8">H4*$H$17</f>
        <v>0</v>
      </c>
      <c r="I22" s="477">
        <f t="shared" ref="I22:I32" si="9">I4*$I$17</f>
        <v>0</v>
      </c>
      <c r="J22" s="477">
        <f t="shared" ref="J22:J32" si="10">J4*$J$17</f>
        <v>99.857245972079909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16339.303977683234</v>
      </c>
    </row>
    <row r="23" spans="1:17">
      <c r="A23" s="476" t="s">
        <v>156</v>
      </c>
      <c r="B23" s="477">
        <f t="shared" ca="1" si="2"/>
        <v>3027.6474042419841</v>
      </c>
      <c r="C23" s="477">
        <f t="shared" ca="1" si="3"/>
        <v>0</v>
      </c>
      <c r="D23" s="477">
        <f t="shared" ca="1" si="4"/>
        <v>3519.5772432458643</v>
      </c>
      <c r="E23" s="477">
        <f t="shared" si="5"/>
        <v>90.160470464090722</v>
      </c>
      <c r="F23" s="477">
        <f t="shared" ca="1" si="6"/>
        <v>1414.9419607986183</v>
      </c>
      <c r="G23" s="477">
        <f t="shared" si="7"/>
        <v>0</v>
      </c>
      <c r="H23" s="477">
        <f t="shared" si="8"/>
        <v>0</v>
      </c>
      <c r="I23" s="477">
        <f t="shared" si="9"/>
        <v>0</v>
      </c>
      <c r="J23" s="477">
        <f t="shared" si="10"/>
        <v>2.3845389686018736E-2</v>
      </c>
      <c r="K23" s="477">
        <f t="shared" si="11"/>
        <v>0</v>
      </c>
      <c r="L23" s="477">
        <f t="shared" ca="1" si="12"/>
        <v>0</v>
      </c>
      <c r="M23" s="477">
        <f t="shared" si="13"/>
        <v>0</v>
      </c>
      <c r="N23" s="477">
        <f t="shared" ca="1" si="14"/>
        <v>0</v>
      </c>
      <c r="O23" s="477">
        <f t="shared" si="15"/>
        <v>0</v>
      </c>
      <c r="P23" s="478">
        <f t="shared" si="16"/>
        <v>0</v>
      </c>
      <c r="Q23" s="476">
        <f t="shared" ref="Q23:Q32" ca="1" si="17">SUM(B23:P23)</f>
        <v>8052.3509241402435</v>
      </c>
    </row>
    <row r="24" spans="1:17">
      <c r="A24" s="476" t="s">
        <v>194</v>
      </c>
      <c r="B24" s="477">
        <f t="shared" ca="1" si="2"/>
        <v>42.964052182934068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42.964052182934068</v>
      </c>
    </row>
    <row r="25" spans="1:17">
      <c r="A25" s="476" t="s">
        <v>112</v>
      </c>
      <c r="B25" s="477">
        <f t="shared" ca="1" si="2"/>
        <v>162.37363335649829</v>
      </c>
      <c r="C25" s="477">
        <f t="shared" ca="1" si="3"/>
        <v>0</v>
      </c>
      <c r="D25" s="477">
        <f t="shared" si="4"/>
        <v>19.327959311683472</v>
      </c>
      <c r="E25" s="477">
        <f t="shared" si="5"/>
        <v>11.032370346990138</v>
      </c>
      <c r="F25" s="477">
        <f t="shared" si="6"/>
        <v>1839.1754072411477</v>
      </c>
      <c r="G25" s="477">
        <f t="shared" si="7"/>
        <v>0</v>
      </c>
      <c r="H25" s="477">
        <f t="shared" si="8"/>
        <v>0</v>
      </c>
      <c r="I25" s="477">
        <f t="shared" si="9"/>
        <v>0</v>
      </c>
      <c r="J25" s="477">
        <f t="shared" si="10"/>
        <v>84.801890560488602</v>
      </c>
      <c r="K25" s="477">
        <f t="shared" si="11"/>
        <v>0</v>
      </c>
      <c r="L25" s="477">
        <f t="shared" si="12"/>
        <v>0</v>
      </c>
      <c r="M25" s="477">
        <f t="shared" si="13"/>
        <v>0</v>
      </c>
      <c r="N25" s="477">
        <f t="shared" si="14"/>
        <v>0</v>
      </c>
      <c r="O25" s="477">
        <f t="shared" si="15"/>
        <v>0</v>
      </c>
      <c r="P25" s="478">
        <f t="shared" si="16"/>
        <v>0</v>
      </c>
      <c r="Q25" s="476">
        <f t="shared" ca="1" si="17"/>
        <v>2116.7112608168081</v>
      </c>
    </row>
    <row r="26" spans="1:17">
      <c r="A26" s="476" t="s">
        <v>635</v>
      </c>
      <c r="B26" s="477">
        <f t="shared" ca="1" si="2"/>
        <v>294.71619703425523</v>
      </c>
      <c r="C26" s="477">
        <f t="shared" ca="1" si="3"/>
        <v>0</v>
      </c>
      <c r="D26" s="477">
        <f t="shared" si="4"/>
        <v>310.94033017501363</v>
      </c>
      <c r="E26" s="477">
        <f t="shared" si="5"/>
        <v>69.9527372505421</v>
      </c>
      <c r="F26" s="477">
        <f t="shared" si="6"/>
        <v>256.01003659162848</v>
      </c>
      <c r="G26" s="477">
        <f t="shared" si="7"/>
        <v>0</v>
      </c>
      <c r="H26" s="477">
        <f t="shared" si="8"/>
        <v>0</v>
      </c>
      <c r="I26" s="477">
        <f t="shared" si="9"/>
        <v>0</v>
      </c>
      <c r="J26" s="477">
        <f t="shared" si="10"/>
        <v>2.7120565177678038</v>
      </c>
      <c r="K26" s="477">
        <f t="shared" si="11"/>
        <v>0</v>
      </c>
      <c r="L26" s="477">
        <f t="shared" si="12"/>
        <v>0</v>
      </c>
      <c r="M26" s="477">
        <f t="shared" si="13"/>
        <v>0</v>
      </c>
      <c r="N26" s="477">
        <f t="shared" si="14"/>
        <v>0</v>
      </c>
      <c r="O26" s="477">
        <f t="shared" si="15"/>
        <v>0</v>
      </c>
      <c r="P26" s="478">
        <f t="shared" si="16"/>
        <v>0</v>
      </c>
      <c r="Q26" s="476">
        <f t="shared" ca="1" si="17"/>
        <v>934.33135756920728</v>
      </c>
    </row>
    <row r="27" spans="1:17" s="482" customFormat="1">
      <c r="A27" s="480" t="s">
        <v>561</v>
      </c>
      <c r="B27" s="780">
        <f t="shared" ca="1" si="2"/>
        <v>3.7936173653810652</v>
      </c>
      <c r="C27" s="481">
        <f t="shared" ca="1" si="3"/>
        <v>0</v>
      </c>
      <c r="D27" s="481">
        <f t="shared" si="4"/>
        <v>25.35495641885775</v>
      </c>
      <c r="E27" s="481">
        <f t="shared" si="5"/>
        <v>41.572617429959863</v>
      </c>
      <c r="F27" s="481">
        <f t="shared" si="6"/>
        <v>0</v>
      </c>
      <c r="G27" s="481">
        <f t="shared" si="7"/>
        <v>18817.511701232783</v>
      </c>
      <c r="H27" s="481">
        <f t="shared" si="8"/>
        <v>3589.9402115095891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22478.173103956571</v>
      </c>
    </row>
    <row r="28" spans="1:17">
      <c r="A28" s="476" t="s">
        <v>551</v>
      </c>
      <c r="B28" s="477">
        <f t="shared" ca="1" si="2"/>
        <v>0</v>
      </c>
      <c r="C28" s="477">
        <f t="shared" ca="1" si="3"/>
        <v>0</v>
      </c>
      <c r="D28" s="477">
        <f t="shared" si="4"/>
        <v>0</v>
      </c>
      <c r="E28" s="477">
        <f t="shared" si="5"/>
        <v>0</v>
      </c>
      <c r="F28" s="477">
        <f t="shared" si="6"/>
        <v>0</v>
      </c>
      <c r="G28" s="477">
        <f t="shared" si="7"/>
        <v>159.73108370203036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159.73108370203036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47.284186494300869</v>
      </c>
      <c r="C32" s="477">
        <f t="shared" ca="1" si="3"/>
        <v>0</v>
      </c>
      <c r="D32" s="477">
        <f t="shared" si="4"/>
        <v>245.16199741300971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292.44618390731057</v>
      </c>
    </row>
    <row r="33" spans="1:17" s="486" customFormat="1">
      <c r="A33" s="1039" t="s">
        <v>555</v>
      </c>
      <c r="B33" s="987">
        <f ca="1">SUM(B22:B32)</f>
        <v>5250.1037647965977</v>
      </c>
      <c r="C33" s="987">
        <f t="shared" ref="C33:Q33" ca="1" si="18">SUM(C22:C32)</f>
        <v>0</v>
      </c>
      <c r="D33" s="987">
        <f t="shared" ca="1" si="18"/>
        <v>10658.453224762939</v>
      </c>
      <c r="E33" s="987">
        <f t="shared" si="18"/>
        <v>1033.3535626731621</v>
      </c>
      <c r="F33" s="987">
        <f t="shared" ca="1" si="18"/>
        <v>10719.523356841213</v>
      </c>
      <c r="G33" s="987">
        <f t="shared" si="18"/>
        <v>18977.242784934813</v>
      </c>
      <c r="H33" s="987">
        <f t="shared" si="18"/>
        <v>3589.9402115095891</v>
      </c>
      <c r="I33" s="987">
        <f t="shared" si="18"/>
        <v>0</v>
      </c>
      <c r="J33" s="987">
        <f t="shared" si="18"/>
        <v>187.39503844002232</v>
      </c>
      <c r="K33" s="987">
        <f t="shared" si="18"/>
        <v>0</v>
      </c>
      <c r="L33" s="987">
        <f t="shared" ca="1" si="18"/>
        <v>0</v>
      </c>
      <c r="M33" s="987">
        <f t="shared" si="18"/>
        <v>0</v>
      </c>
      <c r="N33" s="987">
        <f t="shared" ca="1" si="18"/>
        <v>0</v>
      </c>
      <c r="O33" s="987">
        <f t="shared" si="18"/>
        <v>0</v>
      </c>
      <c r="P33" s="987">
        <f t="shared" si="18"/>
        <v>0</v>
      </c>
      <c r="Q33" s="987">
        <f t="shared" ca="1" si="18"/>
        <v>50416.011943958336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15502.033127291692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5468.2101791918885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8736.2999999999993</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10278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29706.543306483578</v>
      </c>
      <c r="C10" s="1060">
        <f>SUM(C4:C9)</f>
        <v>0</v>
      </c>
      <c r="D10" s="1060">
        <f t="shared" ref="D10:H10" si="0">SUM(D8:D9)</f>
        <v>0</v>
      </c>
      <c r="E10" s="1060">
        <f t="shared" si="0"/>
        <v>0</v>
      </c>
      <c r="F10" s="1060">
        <f t="shared" si="0"/>
        <v>0</v>
      </c>
      <c r="G10" s="1060">
        <f t="shared" si="0"/>
        <v>0</v>
      </c>
      <c r="H10" s="1060">
        <f t="shared" si="0"/>
        <v>0</v>
      </c>
      <c r="I10" s="1060">
        <f>SUM(I8:I9)</f>
        <v>0</v>
      </c>
      <c r="J10" s="1060">
        <f>SUM(J8:J9)</f>
        <v>10278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9.8201303245489396E-2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12480.428571428572</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14682.857142857145</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12480.428571428572</v>
      </c>
      <c r="C20" s="1060">
        <f>SUM(C17:C19)</f>
        <v>0</v>
      </c>
      <c r="D20" s="1060">
        <f t="shared" ref="D20:H20" si="2">SUM(D17:D19)</f>
        <v>0</v>
      </c>
      <c r="E20" s="1060">
        <f t="shared" si="2"/>
        <v>0</v>
      </c>
      <c r="F20" s="1060">
        <f t="shared" si="2"/>
        <v>0</v>
      </c>
      <c r="G20" s="1060">
        <f t="shared" si="2"/>
        <v>0</v>
      </c>
      <c r="H20" s="1060">
        <f t="shared" si="2"/>
        <v>0</v>
      </c>
      <c r="I20" s="1060">
        <f>SUM(I17:I19)</f>
        <v>0</v>
      </c>
      <c r="J20" s="1060">
        <f>SUM(J17:J19)</f>
        <v>14682.857142857145</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9.8201303245489396E-2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2019-08-12T08:31:53Z</dcterms:modified>
</cp:coreProperties>
</file>