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M89" i="14" s="1"/>
  <c r="M19" i="61" s="1"/>
  <c r="G19" i="18"/>
  <c r="H89" i="14" s="1"/>
  <c r="H19" i="61" s="1"/>
  <c r="F19" i="18"/>
  <c r="G89" i="14" s="1"/>
  <c r="G19" i="61" s="1"/>
  <c r="E19" i="18"/>
  <c r="F89" i="14" s="1"/>
  <c r="F19" i="61" s="1"/>
  <c r="D19" i="18"/>
  <c r="C19"/>
  <c r="B19"/>
  <c r="N18"/>
  <c r="L88" i="14" s="1"/>
  <c r="M18" i="18"/>
  <c r="K88" i="14" s="1"/>
  <c r="K18" i="61" s="1"/>
  <c r="L18" i="18"/>
  <c r="L20" s="1"/>
  <c r="K18"/>
  <c r="N88" i="14" s="1"/>
  <c r="N18" i="61" s="1"/>
  <c r="N20" s="1"/>
  <c r="J18" i="18"/>
  <c r="I18"/>
  <c r="H18"/>
  <c r="G18"/>
  <c r="F18"/>
  <c r="G88" i="14" s="1"/>
  <c r="G18" i="61" s="1"/>
  <c r="E18" i="18"/>
  <c r="F88" i="14" s="1"/>
  <c r="F18" i="61" s="1"/>
  <c r="D18" i="18"/>
  <c r="E88" i="14" s="1"/>
  <c r="C18" i="18"/>
  <c r="B18"/>
  <c r="L9"/>
  <c r="O77" i="14" s="1"/>
  <c r="O9" i="61" s="1"/>
  <c r="K9" i="18"/>
  <c r="I9"/>
  <c r="G9"/>
  <c r="G10" s="1"/>
  <c r="F9"/>
  <c r="F10" s="1"/>
  <c r="E9"/>
  <c r="D9"/>
  <c r="K22"/>
  <c r="J22"/>
  <c r="I22"/>
  <c r="H22"/>
  <c r="K12"/>
  <c r="J12"/>
  <c r="I12"/>
  <c r="H12"/>
  <c r="W92"/>
  <c r="V92"/>
  <c r="U92"/>
  <c r="L6" i="17" s="1"/>
  <c r="T92" i="18"/>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R89"/>
  <c r="Q89"/>
  <c r="P89"/>
  <c r="C9" s="1"/>
  <c r="O89"/>
  <c r="N89"/>
  <c r="B9" s="1"/>
  <c r="M89"/>
  <c r="W61"/>
  <c r="V61"/>
  <c r="U61"/>
  <c r="T61"/>
  <c r="S61"/>
  <c r="F6" i="17" s="1"/>
  <c r="R61" i="18"/>
  <c r="N6" i="17" s="1"/>
  <c r="Q61" i="18"/>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H88" i="14"/>
  <c r="H18" i="61" s="1"/>
  <c r="D20" i="18"/>
  <c r="D88" i="14"/>
  <c r="D18" i="61" s="1"/>
  <c r="B17" i="18"/>
  <c r="B20" s="1"/>
  <c r="G12"/>
  <c r="F12"/>
  <c r="E12"/>
  <c r="D12"/>
  <c r="C12"/>
  <c r="L10"/>
  <c r="K10"/>
  <c r="E77" i="14"/>
  <c r="E9" i="61" s="1"/>
  <c r="B8" i="18"/>
  <c r="B6"/>
  <c r="B5"/>
  <c r="B73" i="14" s="1"/>
  <c r="B5" i="61" s="1"/>
  <c r="B4" i="18"/>
  <c r="B19" i="6"/>
  <c r="B18"/>
  <c r="B5"/>
  <c r="B6"/>
  <c r="C64" i="14" s="1"/>
  <c r="D14" i="48"/>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E10" s="1"/>
  <c r="B75" i="14"/>
  <c r="B7" i="61" s="1"/>
  <c r="B74" i="14"/>
  <c r="B6" i="61" s="1"/>
  <c r="C29" i="14"/>
  <c r="Q54"/>
  <c r="Q56" s="1"/>
  <c r="P54"/>
  <c r="P56" s="1"/>
  <c r="L54"/>
  <c r="J54"/>
  <c r="I54"/>
  <c r="H54"/>
  <c r="H56" s="1"/>
  <c r="Q24"/>
  <c r="P24"/>
  <c r="P26" s="1"/>
  <c r="N24"/>
  <c r="L24"/>
  <c r="L26" s="1"/>
  <c r="J24"/>
  <c r="I24"/>
  <c r="I26" s="1"/>
  <c r="H24"/>
  <c r="Q50"/>
  <c r="P50"/>
  <c r="O50"/>
  <c r="M50"/>
  <c r="L50"/>
  <c r="K50"/>
  <c r="J50"/>
  <c r="G50"/>
  <c r="D50"/>
  <c r="Q49"/>
  <c r="Q52" s="1"/>
  <c r="P49"/>
  <c r="Q20"/>
  <c r="P20"/>
  <c r="O20"/>
  <c r="M20"/>
  <c r="L20"/>
  <c r="K20"/>
  <c r="J20"/>
  <c r="G20"/>
  <c r="D20"/>
  <c r="Q19"/>
  <c r="Q22" s="1"/>
  <c r="P19"/>
  <c r="P22" s="1"/>
  <c r="O19"/>
  <c r="O22" s="1"/>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K90"/>
  <c r="R78"/>
  <c r="L56"/>
  <c r="J56"/>
  <c r="I56"/>
  <c r="P52"/>
  <c r="R44"/>
  <c r="Q26"/>
  <c r="N26"/>
  <c r="J26"/>
  <c r="E25"/>
  <c r="C25"/>
  <c r="B14" i="48" s="1"/>
  <c r="Q14" s="1"/>
  <c r="H26" i="14"/>
  <c r="R12"/>
  <c r="D5" i="17"/>
  <c r="K78" i="14" l="1"/>
  <c r="K8" i="61"/>
  <c r="K10" s="1"/>
  <c r="N78" i="14"/>
  <c r="N9" i="61"/>
  <c r="N10" s="1"/>
  <c r="E90" i="14"/>
  <c r="E18" i="61"/>
  <c r="E20" s="1"/>
  <c r="L90" i="14"/>
  <c r="L18" i="61"/>
  <c r="L78" i="14"/>
  <c r="L8" i="61"/>
  <c r="L10" s="1"/>
  <c r="B10" i="18"/>
  <c r="M77" i="14"/>
  <c r="M9" i="61" s="1"/>
  <c r="H9" i="18"/>
  <c r="L20" i="61"/>
  <c r="P31" i="48"/>
  <c r="J22" i="14"/>
  <c r="G77"/>
  <c r="G9" i="61" s="1"/>
  <c r="G10" s="1"/>
  <c r="H20"/>
  <c r="P25" i="48"/>
  <c r="I77" i="14"/>
  <c r="I9" i="61" s="1"/>
  <c r="O9" i="18"/>
  <c r="O10" i="61"/>
  <c r="G20"/>
  <c r="K20"/>
  <c r="Q11" i="48"/>
  <c r="O25"/>
  <c r="O32"/>
  <c r="C98" i="18"/>
  <c r="G101" s="1"/>
  <c r="I8" s="1"/>
  <c r="D13" i="15"/>
  <c r="B72" i="14"/>
  <c r="B4" i="61" s="1"/>
  <c r="O30" i="48"/>
  <c r="C13" i="15"/>
  <c r="L13"/>
  <c r="B13"/>
  <c r="H90" i="14"/>
  <c r="N13" i="15"/>
  <c r="F77" i="14"/>
  <c r="F9" i="61" s="1"/>
  <c r="F101" i="18"/>
  <c r="H10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D101" i="18"/>
  <c r="C101"/>
  <c r="B101"/>
  <c r="C8" s="1"/>
  <c r="I101"/>
  <c r="H8" s="1"/>
  <c r="H10" s="1"/>
  <c r="E101"/>
  <c r="E8" s="1"/>
  <c r="E10" s="1"/>
  <c r="B88" i="14"/>
  <c r="B18" i="61" s="1"/>
  <c r="B77" i="14"/>
  <c r="B9" i="61" s="1"/>
  <c r="Q77" i="14"/>
  <c r="P9" i="61" s="1"/>
  <c r="J17" i="18"/>
  <c r="H20"/>
  <c r="M87" i="14"/>
  <c r="J8" i="18"/>
  <c r="E20"/>
  <c r="F87" i="14"/>
  <c r="C77"/>
  <c r="C9" i="61" s="1"/>
  <c r="C20" i="18"/>
  <c r="D87" i="14"/>
  <c r="D17" i="61" s="1"/>
  <c r="D20" s="1"/>
  <c r="D76" i="14"/>
  <c r="D8" i="61" s="1"/>
  <c r="D10" s="1"/>
  <c r="C10" i="18"/>
  <c r="C88" i="14"/>
  <c r="C18" i="61" s="1"/>
  <c r="I17" i="18"/>
  <c r="I10"/>
  <c r="I76" i="14"/>
  <c r="I8" i="61" s="1"/>
  <c r="I10" s="1"/>
  <c r="Q88" i="14"/>
  <c r="P18" i="61" s="1"/>
  <c r="AC15" i="5"/>
  <c r="M90" i="14" l="1"/>
  <c r="M17" i="61"/>
  <c r="M20" s="1"/>
  <c r="F90" i="14"/>
  <c r="F17" i="61"/>
  <c r="F20" s="1"/>
  <c r="O8" i="18"/>
  <c r="O10" s="1"/>
  <c r="M76" i="14"/>
  <c r="F76"/>
  <c r="I78"/>
  <c r="Q76"/>
  <c r="D78"/>
  <c r="J87"/>
  <c r="J20" i="18"/>
  <c r="I87" i="14"/>
  <c r="I17" i="61" s="1"/>
  <c r="I20" s="1"/>
  <c r="I20" i="18"/>
  <c r="O17"/>
  <c r="O20" s="1"/>
  <c r="Q87" i="14"/>
  <c r="D90"/>
  <c r="J10" i="18"/>
  <c r="J76" i="14"/>
  <c r="D5" i="13"/>
  <c r="Q78" i="14" l="1"/>
  <c r="B9" i="6" s="1"/>
  <c r="P8" i="61"/>
  <c r="P10" s="1"/>
  <c r="J78" i="14"/>
  <c r="J8" i="61"/>
  <c r="J10" s="1"/>
  <c r="J90" i="14"/>
  <c r="J17" i="61"/>
  <c r="J20" s="1"/>
  <c r="M78" i="14"/>
  <c r="M8" i="61"/>
  <c r="M10" s="1"/>
  <c r="F78" i="14"/>
  <c r="F8" i="61"/>
  <c r="F10" s="1"/>
  <c r="Q90" i="14"/>
  <c r="B17" i="6" s="1"/>
  <c r="P17" i="61"/>
  <c r="P20" s="1"/>
  <c r="I90" i="14"/>
  <c r="B87"/>
  <c r="C87"/>
  <c r="C76"/>
  <c r="B76"/>
  <c r="B26" i="17"/>
  <c r="B90" i="14" l="1"/>
  <c r="B17" i="61"/>
  <c r="B20" s="1"/>
  <c r="C90" i="14"/>
  <c r="C17" i="61"/>
  <c r="C20" s="1"/>
  <c r="C78" i="14"/>
  <c r="C8" i="61"/>
  <c r="C10" s="1"/>
  <c r="B78" i="14"/>
  <c r="B8" i="61"/>
  <c r="B1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H29"/>
  <c r="H32"/>
  <c r="H28"/>
  <c r="H22"/>
  <c r="H25"/>
  <c r="H30"/>
  <c r="H26"/>
  <c r="H24"/>
  <c r="H23"/>
  <c r="D11" i="14"/>
  <c r="C4" i="48"/>
  <c r="G23"/>
  <c r="G22"/>
  <c r="G30"/>
  <c r="G32"/>
  <c r="G24"/>
  <c r="G25"/>
  <c r="G26"/>
  <c r="G29"/>
  <c r="B4"/>
  <c r="C11" i="14"/>
  <c r="F30" i="48"/>
  <c r="F32"/>
  <c r="F24"/>
  <c r="F29"/>
  <c r="F28"/>
  <c r="F31"/>
  <c r="F27"/>
  <c r="N32"/>
  <c r="N24"/>
  <c r="N27"/>
  <c r="N31"/>
  <c r="N30"/>
  <c r="N28"/>
  <c r="N29"/>
  <c r="B10"/>
  <c r="C19" i="14"/>
  <c r="E31" i="48"/>
  <c r="E32"/>
  <c r="E29"/>
  <c r="E24"/>
  <c r="E30"/>
  <c r="E28"/>
  <c r="M29"/>
  <c r="M25"/>
  <c r="M22"/>
  <c r="M26"/>
  <c r="M24"/>
  <c r="M30"/>
  <c r="M32"/>
  <c r="M23"/>
  <c r="L10" i="14"/>
  <c r="L16" s="1"/>
  <c r="L27" s="1"/>
  <c r="K5" i="48"/>
  <c r="D30"/>
  <c r="D28"/>
  <c r="D24"/>
  <c r="D29"/>
  <c r="D31"/>
  <c r="D32"/>
  <c r="L29"/>
  <c r="L32"/>
  <c r="L27"/>
  <c r="L22"/>
  <c r="L30"/>
  <c r="L28"/>
  <c r="L31"/>
  <c r="L24"/>
  <c r="P5"/>
  <c r="P23" s="1"/>
  <c r="Q10" i="14"/>
  <c r="K32" i="48"/>
  <c r="K24"/>
  <c r="K31"/>
  <c r="K22"/>
  <c r="K30"/>
  <c r="K25"/>
  <c r="K26"/>
  <c r="K28"/>
  <c r="K29"/>
  <c r="K27"/>
  <c r="B7"/>
  <c r="C24" i="14"/>
  <c r="C26" s="1"/>
  <c r="J24" i="48"/>
  <c r="J31"/>
  <c r="J29"/>
  <c r="J30"/>
  <c r="J32"/>
  <c r="J28"/>
  <c r="J27"/>
  <c r="P4"/>
  <c r="Q11" i="14"/>
  <c r="O4" i="48"/>
  <c r="P11" i="14"/>
  <c r="I29" i="48"/>
  <c r="I27"/>
  <c r="I31"/>
  <c r="I25"/>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15"/>
  <c r="E9"/>
  <c r="E27" s="1"/>
  <c r="F20" i="14"/>
  <c r="F22" s="1"/>
  <c r="P8" i="48"/>
  <c r="P26" s="1"/>
  <c r="Q13" i="14"/>
  <c r="O22" i="48"/>
  <c r="D9"/>
  <c r="D27" s="1"/>
  <c r="E20" i="14"/>
  <c r="E22" s="1"/>
  <c r="O5" i="48"/>
  <c r="O23" s="1"/>
  <c r="P10" i="14"/>
  <c r="B9" i="48"/>
  <c r="C20" i="14"/>
  <c r="K24"/>
  <c r="K26" s="1"/>
  <c r="J7" i="48"/>
  <c r="J25" s="1"/>
  <c r="K23"/>
  <c r="K15"/>
  <c r="C22" i="14"/>
  <c r="G11"/>
  <c r="F4" i="48"/>
  <c r="F22" s="1"/>
  <c r="J10" i="14"/>
  <c r="J16" s="1"/>
  <c r="J27" s="1"/>
  <c r="J63" s="1"/>
  <c r="I5" i="48"/>
  <c r="K33"/>
  <c r="L46" i="14"/>
  <c r="L61" s="1"/>
  <c r="L63" s="1"/>
  <c r="Q16"/>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F11" i="14" l="1"/>
  <c r="R11" s="1"/>
  <c r="E4" i="48"/>
  <c r="N19" i="14"/>
  <c r="N22" s="1"/>
  <c r="N27" s="1"/>
  <c r="M10" i="48"/>
  <c r="M28" s="1"/>
  <c r="G10"/>
  <c r="H19" i="14"/>
  <c r="E7" i="48"/>
  <c r="E25" s="1"/>
  <c r="F24" i="14"/>
  <c r="F26" s="1"/>
  <c r="P13"/>
  <c r="P16" s="1"/>
  <c r="P27" s="1"/>
  <c r="O8" i="48"/>
  <c r="O26" s="1"/>
  <c r="O33" s="1"/>
  <c r="J4"/>
  <c r="K11" i="14"/>
  <c r="O11"/>
  <c r="N4" i="48"/>
  <c r="N22" s="1"/>
  <c r="I23"/>
  <c r="I33" s="1"/>
  <c r="I15"/>
  <c r="P46" i="14"/>
  <c r="P61" s="1"/>
  <c r="Q63"/>
  <c r="E12" i="17"/>
  <c r="F54" i="14" s="1"/>
  <c r="F56" s="1"/>
  <c r="P33" i="48"/>
  <c r="I20" i="14"/>
  <c r="I22" s="1"/>
  <c r="I27" s="1"/>
  <c r="H9" i="48"/>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K10" i="14"/>
  <c r="J5" i="48"/>
  <c r="J23" s="1"/>
  <c r="J22"/>
  <c r="E5"/>
  <c r="E23" s="1"/>
  <c r="F10" i="14"/>
  <c r="G28" i="48"/>
  <c r="Q10"/>
  <c r="R19" i="14"/>
  <c r="P63"/>
  <c r="O15" i="48"/>
  <c r="Q7"/>
  <c r="M15"/>
  <c r="M27"/>
  <c r="M33" s="1"/>
  <c r="H15"/>
  <c r="H27"/>
  <c r="H33" s="1"/>
  <c r="N63" i="14"/>
  <c r="R24"/>
  <c r="R26" s="1"/>
  <c r="N18" i="16"/>
  <c r="E20" i="15"/>
  <c r="F40" i="14" s="1"/>
  <c r="F18" i="16"/>
  <c r="J18"/>
  <c r="E18"/>
  <c r="G18" i="22"/>
  <c r="H50" i="14" s="1"/>
  <c r="H52" s="1"/>
  <c r="H61" s="1"/>
  <c r="H18" i="22"/>
  <c r="I50" i="14" s="1"/>
  <c r="I52" s="1"/>
  <c r="I61" s="1"/>
  <c r="I63" s="1"/>
  <c r="E8" i="48" l="1"/>
  <c r="E26" s="1"/>
  <c r="E33" s="1"/>
  <c r="F13" i="14"/>
  <c r="G27" i="48"/>
  <c r="G33" s="1"/>
  <c r="G15"/>
  <c r="K13" i="14"/>
  <c r="J8" i="48"/>
  <c r="H63" i="14"/>
  <c r="R20"/>
  <c r="R22" s="1"/>
  <c r="F16"/>
  <c r="F27" s="1"/>
  <c r="K16"/>
  <c r="K27" s="1"/>
  <c r="K63" s="1"/>
  <c r="Q9" i="48"/>
  <c r="N8"/>
  <c r="N26" s="1"/>
  <c r="O13" i="14"/>
  <c r="F8" i="48"/>
  <c r="G13" i="14"/>
  <c r="E22" i="16"/>
  <c r="F43" i="14" s="1"/>
  <c r="F46" s="1"/>
  <c r="F61" s="1"/>
  <c r="F22" i="16"/>
  <c r="G43" i="14" s="1"/>
  <c r="N22" i="16"/>
  <c r="O43" i="14" s="1"/>
  <c r="J22" i="16"/>
  <c r="K43" i="14" s="1"/>
  <c r="K46" s="1"/>
  <c r="K61" s="1"/>
  <c r="J26" i="48" l="1"/>
  <c r="J33" s="1"/>
  <c r="J15"/>
  <c r="F63" i="14"/>
  <c r="E15" i="48"/>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<sst xmlns="http://schemas.openxmlformats.org/spreadsheetml/2006/main" count="2419" uniqueCount="896">
  <si>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</si>
  <si>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</si>
  <si>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</si>
  <si>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</si>
  <si>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</si>
  <si>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</si>
  <si>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</si>
  <si>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</si>
  <si>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</si>
  <si>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</si>
  <si>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</si>
  <si>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</si>
  <si>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</si>
  <si>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</si>
  <si>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</si>
  <si>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</si>
  <si>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</si>
  <si>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</si>
  <si>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</si>
  <si>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</si>
  <si>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</si>
  <si>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</si>
  <si>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</si>
  <si>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</si>
  <si>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</si>
  <si>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</si>
  <si>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</si>
  <si>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</si>
  <si>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</si>
  <si>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</si>
  <si>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</si>
  <si>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</si>
  <si>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</si>
  <si>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</si>
  <si>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</si>
  <si>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</si>
  <si>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</si>
  <si>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</si>
  <si>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</si>
  <si>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</si>
  <si>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</si>
  <si>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</si>
  <si>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</si>
  <si>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</si>
  <si>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</si>
  <si>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</si>
  <si>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</si>
  <si>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</si>
  <si>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</si>
  <si>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</si>
  <si>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</si>
  <si>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</si>
  <si>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</si>
  <si>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</si>
  <si>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</si>
  <si>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</si>
  <si>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</si>
  <si>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</si>
  <si>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</si>
  <si>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</si>
  <si>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</si>
  <si>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</si>
  <si>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</si>
  <si>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</si>
  <si>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</si>
  <si>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</si>
  <si>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</si>
  <si>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</si>
  <si>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</si>
  <si>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</si>
  <si>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</si>
  <si>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</si>
  <si>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</si>
  <si>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</si>
  <si>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</si>
  <si>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</si>
  <si>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</si>
  <si>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</si>
  <si>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</si>
  <si>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</si>
  <si>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</si>
  <si>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</si>
  <si>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</si>
  <si>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</si>
  <si>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</si>
  <si>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</si>
  <si>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</si>
  <si>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</si>
  <si>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</si>
  <si>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</si>
  <si>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</si>
  <si>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</si>
  <si>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</si>
  <si>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</si>
  <si>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</si>
  <si>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</si>
  <si>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</si>
  <si>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</si>
  <si>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</si>
  <si>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</si>
  <si>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</si>
  <si>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</si>
  <si>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</si>
  <si>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</si>
  <si>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</si>
  <si>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</si>
  <si>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</si>
  <si>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</si>
  <si>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</si>
  <si>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</si>
  <si>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</si>
  <si>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</si>
  <si>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</si>
  <si>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</si>
  <si>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</si>
  <si>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</si>
  <si>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</si>
  <si>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</si>
  <si>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</si>
  <si>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</si>
  <si>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</si>
  <si>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</si>
  <si>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</si>
  <si>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</si>
  <si>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</si>
  <si>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</si>
  <si>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</si>
  <si>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</si>
  <si>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</si>
  <si>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</si>
  <si>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</si>
  <si>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</si>
  <si>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</si>
  <si>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</si>
  <si>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</si>
  <si>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</si>
  <si>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</si>
  <si>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</si>
  <si>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</si>
  <si>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</si>
  <si>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</si>
  <si>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</si>
  <si>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</si>
  <si>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</si>
  <si>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</si>
  <si>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</si>
  <si>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</si>
  <si>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</si>
  <si>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</si>
  <si>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</si>
  <si>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</si>
  <si>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</si>
  <si>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</si>
  <si>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</si>
  <si>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</si>
  <si>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</si>
  <si>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</si>
  <si>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</si>
  <si>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</si>
  <si>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</si>
  <si>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</si>
  <si>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</si>
  <si>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</si>
  <si>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</si>
  <si>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</si>
  <si>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</si>
  <si>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</si>
  <si>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</si>
  <si>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</si>
  <si>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</si>
  <si>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</si>
  <si>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</si>
  <si>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</si>
  <si>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</si>
  <si>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</si>
  <si>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</si>
  <si>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</si>
  <si>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</si>
  <si>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</si>
  <si>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</si>
  <si>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</si>
  <si>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</si>
  <si>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</si>
  <si>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</si>
  <si>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</si>
  <si>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</si>
  <si>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</si>
  <si>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</si>
  <si>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</si>
  <si>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</si>
  <si>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</si>
  <si>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</si>
  <si>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</si>
  <si>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</si>
  <si>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</si>
  <si>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</si>
  <si>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</si>
  <si>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</si>
  <si>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</si>
  <si>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</si>
  <si>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</si>
  <si>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</si>
  <si>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</si>
  <si>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</si>
  <si>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</si>
  <si>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</si>
  <si>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</si>
  <si>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</si>
  <si>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</si>
  <si>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</si>
  <si>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</si>
  <si>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</si>
  <si>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</si>
  <si>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</si>
  <si>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</si>
  <si>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</si>
  <si>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</si>
  <si>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</si>
  <si>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</si>
  <si>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</si>
  <si>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</si>
  <si>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</si>
  <si>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</si>
  <si>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</si>
  <si>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</si>
  <si>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</si>
  <si>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</si>
  <si>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</si>
  <si>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</si>
  <si>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</si>
  <si>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</si>
  <si>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</si>
  <si>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</si>
  <si>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</si>
  <si>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</si>
  <si>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</si>
  <si>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</si>
  <si>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</si>
  <si>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</si>
  <si>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</si>
  <si>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</si>
  <si>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</si>
  <si>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</si>
  <si>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</si>
  <si>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</si>
  <si>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</si>
  <si>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</si>
  <si>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</si>
  <si>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</si>
  <si>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</si>
  <si>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</si>
  <si>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</si>
  <si>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</si>
  <si>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</si>
  <si>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</si>
  <si>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</si>
  <si>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</si>
  <si>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</si>
  <si>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</si>
  <si>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</si>
  <si>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</si>
  <si>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</si>
  <si>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</si>
  <si>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</si>
  <si>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</si>
  <si>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</si>
  <si>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</si>
  <si>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</si>
  <si>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</si>
  <si>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</si>
  <si>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</si>
  <si>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</si>
  <si>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</si>
  <si>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</si>
  <si>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</si>
  <si>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</si>
  <si>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</si>
  <si>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</si>
  <si>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</si>
  <si>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</si>
  <si>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</si>
  <si>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</si>
  <si>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</si>
  <si>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</si>
  <si>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</si>
  <si>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</si>
  <si>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</si>
  <si>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</si>
  <si>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</si>
  <si>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</si>
  <si>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</si>
  <si>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</si>
  <si>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</si>
  <si>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</si>
  <si>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</si>
  <si>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</si>
  <si>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</si>
  <si>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</si>
  <si>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</si>
  <si>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</si>
  <si>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</si>
  <si>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</si>
  <si>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</si>
  <si>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</si>
  <si>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</si>
  <si>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</si>
  <si>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</si>
  <si>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</si>
  <si>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</si>
  <si>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</si>
  <si>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</si>
  <si>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</si>
  <si>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</si>
  <si>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</si>
  <si>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</si>
  <si>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</si>
  <si>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</si>
  <si>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</si>
  <si>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</si>
  <si>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</si>
  <si>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</si>
  <si>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</si>
  <si>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</si>
  <si>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</si>
  <si>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</si>
  <si>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</si>
  <si>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</si>
  <si>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</si>
  <si>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</si>
  <si>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</si>
  <si>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</si>
  <si>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</si>
  <si>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</si>
  <si>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</si>
  <si>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</si>
  <si>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</si>
  <si>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</si>
  <si>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</si>
  <si>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</si>
  <si>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</si>
  <si>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</si>
  <si>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</si>
  <si>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</si>
  <si>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</si>
  <si>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</si>
  <si>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</si>
  <si>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</si>
  <si>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</si>
  <si>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</si>
  <si>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</si>
  <si>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</si>
  <si>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</si>
  <si>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</si>
  <si>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</si>
  <si>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</si>
  <si>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</si>
  <si>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</si>
  <si>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</si>
  <si>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</si>
  <si>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</si>
  <si>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</si>
  <si>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</si>
  <si>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</si>
  <si>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</si>
  <si>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</si>
  <si>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</si>
  <si>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</si>
  <si>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</si>
  <si>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</si>
  <si>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</si>
  <si>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</si>
  <si>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</si>
  <si>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</si>
  <si>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</si>
  <si>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</si>
  <si>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</si>
  <si>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</si>
  <si>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</si>
  <si>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</si>
  <si>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</si>
  <si>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</si>
  <si>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</si>
  <si>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</si>
  <si>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</si>
  <si>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</si>
  <si>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</si>
  <si>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</si>
  <si>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</si>
  <si>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</si>
  <si>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</si>
  <si>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</si>
  <si>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</si>
  <si>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</si>
  <si>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</si>
  <si>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</si>
  <si>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</si>
  <si>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</si>
  <si>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</si>
  <si>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</si>
  <si>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</si>
  <si>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</si>
  <si>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</si>
  <si>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</si>
  <si>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</si>
  <si>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</si>
  <si>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</si>
  <si>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</si>
  <si>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</si>
  <si>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</si>
  <si>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</si>
  <si>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</si>
  <si>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</si>
  <si>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</si>
  <si>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</si>
  <si>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</si>
  <si>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</si>
  <si>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</si>
  <si>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</si>
  <si>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</si>
  <si>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</si>
  <si>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</si>
  <si>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</si>
  <si>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</si>
  <si>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</si>
  <si>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</si>
  <si>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</si>
  <si>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</si>
  <si>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</si>
  <si>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</si>
  <si>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</si>
  <si>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</si>
  <si>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</si>
  <si>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</si>
  <si>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</si>
  <si>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</si>
  <si>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</si>
  <si>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</si>
  <si>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</si>
  <si>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</si>
  <si>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</si>
  <si>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</si>
  <si>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</si>
  <si>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</si>
  <si>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</si>
  <si>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</si>
  <si>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</si>
  <si>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</si>
  <si>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</si>
  <si>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</si>
  <si>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</si>
  <si>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</si>
  <si>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</si>
  <si>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</si>
  <si>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</si>
  <si>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</si>
  <si>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</si>
  <si>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</si>
  <si>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</si>
  <si>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</si>
  <si>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</si>
  <si>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</si>
  <si>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</si>
  <si>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</si>
  <si>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</si>
  <si>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</si>
  <si>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</si>
  <si>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</si>
  <si>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</si>
  <si>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</si>
  <si>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</si>
  <si>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</si>
  <si>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</si>
  <si>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</si>
  <si>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</si>
  <si>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</si>
  <si>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</si>
  <si>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</si>
  <si>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</si>
  <si>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</si>
  <si>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</si>
  <si>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</si>
  <si>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</si>
  <si>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</si>
  <si>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</si>
  <si>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</si>
  <si>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</si>
  <si>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</si>
  <si>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</si>
  <si>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</si>
  <si>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</si>
  <si>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</si>
  <si>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</si>
  <si>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</si>
  <si>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</si>
  <si>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</si>
  <si>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</si>
  <si>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</si>
  <si>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</si>
  <si>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</si>
  <si>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</si>
  <si>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</si>
  <si>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</si>
  <si>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</si>
  <si>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</si>
  <si>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</si>
  <si>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</si>
  <si>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</si>
  <si>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</si>
  <si>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</si>
  <si>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</si>
  <si>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</si>
  <si>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</si>
  <si>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</si>
  <si>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</si>
  <si>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</si>
  <si>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</si>
  <si>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</si>
  <si>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</si>
  <si>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</si>
  <si>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</si>
  <si>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</si>
  <si>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</si>
  <si>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</si>
  <si>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</si>
  <si>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</si>
  <si>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</si>
  <si>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</si>
  <si>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</si>
  <si>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</si>
  <si>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</si>
  <si>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</si>
  <si>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</si>
  <si>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</si>
  <si>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</si>
  <si>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</si>
  <si>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</si>
  <si>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</si>
  <si>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</si>
  <si>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</si>
  <si>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</si>
  <si>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</si>
  <si>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</si>
  <si>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</si>
  <si>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</si>
  <si>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</si>
  <si>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</si>
  <si>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</si>
  <si>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</si>
  <si>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</si>
  <si>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</si>
  <si>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</si>
  <si>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</si>
  <si>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</si>
  <si>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</si>
  <si>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</si>
  <si>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</si>
  <si>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</si>
  <si>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</si>
  <si>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</si>
  <si>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</si>
  <si>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</si>
  <si>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</si>
  <si>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</si>
  <si>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</si>
  <si>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</si>
  <si>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</si>
  <si>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</si>
  <si>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</si>
  <si>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</si>
  <si>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</si>
  <si>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</si>
  <si>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</si>
  <si>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</si>
  <si>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</si>
  <si>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</si>
  <si>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</si>
  <si>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</si>
  <si>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</si>
  <si>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</si>
  <si>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</si>
  <si>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</si>
  <si>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</si>
  <si>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</si>
  <si>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</si>
  <si>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</si>
  <si>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</si>
  <si>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</si>
  <si>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</si>
  <si>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</si>
  <si>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</si>
  <si>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</si>
  <si>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</si>
  <si>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</si>
  <si>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</si>
  <si>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</si>
  <si>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</si>
  <si>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</si>
  <si>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</si>
  <si>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</si>
  <si>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</si>
  <si>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</si>
  <si>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</si>
  <si>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</si>
  <si>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</si>
  <si>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</si>
  <si>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</si>
  <si>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</si>
  <si>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</si>
  <si>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</si>
  <si>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</si>
  <si>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</si>
  <si>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</si>
  <si>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</si>
  <si>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</si>
  <si>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</si>
  <si>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</si>
  <si>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</si>
  <si>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</si>
  <si>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</si>
  <si>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</si>
  <si>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</si>
  <si>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</si>
  <si>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</si>
  <si>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</si>
  <si>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</si>
  <si>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</si>
  <si>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</si>
  <si>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</si>
  <si>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</si>
  <si>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</si>
  <si>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</si>
  <si>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</si>
  <si>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</si>
  <si>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</si>
  <si>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</si>
  <si>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</si>
  <si>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</si>
  <si>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</si>
  <si>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</si>
  <si>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</si>
  <si>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</si>
  <si>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</si>
  <si>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</si>
  <si>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</si>
  <si>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</si>
  <si>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</si>
  <si>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</si>
  <si>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</si>
  <si>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</si>
  <si>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</si>
  <si>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</si>
  <si>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</si>
  <si>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</si>
  <si>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</si>
  <si>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</si>
  <si>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</si>
  <si>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</si>
  <si>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</si>
  <si>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</si>
  <si>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</si>
  <si>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</si>
  <si>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</si>
  <si>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</si>
  <si>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</si>
  <si>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</si>
  <si>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</si>
  <si>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</si>
  <si>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</si>
  <si>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</si>
  <si>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</si>
  <si>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</si>
  <si>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</si>
  <si>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</si>
  <si>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</si>
  <si>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</si>
  <si>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</si>
  <si>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</si>
  <si>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</si>
  <si>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</si>
  <si>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</si>
  <si>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</si>
  <si>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</si>
  <si>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</si>
  <si>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</si>
  <si>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</si>
  <si>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</si>
  <si>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</si>
  <si>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</si>
  <si>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</si>
  <si>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</si>
  <si>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</si>
  <si>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</si>
  <si>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</si>
  <si>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</si>
  <si>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</si>
  <si>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</si>
  <si>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</si>
  <si>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</si>
  <si>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</si>
  <si>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</si>
  <si>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</si>
  <si>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</si>
  <si>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</si>
  <si>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</si>
  <si>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</si>
  <si>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</si>
  <si>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</si>
  <si>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</si>
  <si>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</si>
  <si>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</si>
  <si>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</si>
  <si>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</si>
  <si>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</si>
  <si>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</si>
  <si>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</si>
  <si>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</si>
  <si>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</si>
  <si>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</si>
  <si>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</si>
  <si>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</si>
  <si>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</si>
  <si>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</si>
  <si>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</si>
  <si>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</si>
  <si>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</si>
  <si>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</si>
  <si>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</si>
  <si>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</si>
  <si>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</si>
  <si>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</si>
  <si>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</si>
  <si>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</si>
  <si>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</si>
  <si>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</si>
  <si>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</si>
  <si>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</si>
  <si>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</si>
  <si>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</si>
  <si>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</si>
  <si>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</si>
  <si>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</si>
  <si>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</si>
  <si>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</si>
  <si>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</si>
  <si>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</si>
  <si>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</si>
  <si>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</si>
  <si>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</si>
  <si>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</si>
  <si>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</si>
  <si>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</si>
  <si>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</si>
  <si>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</si>
  <si>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</si>
  <si>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</si>
  <si>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</si>
  <si>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</si>
  <si>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</si>
  <si>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</si>
  <si>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</si>
  <si>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</si>
  <si>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</si>
  <si>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</si>
  <si>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</si>
  <si>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</si>
  <si>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</si>
  <si>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</si>
  <si>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</si>
  <si>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</si>
  <si>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</si>
  <si>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</si>
  <si>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</si>
  <si>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</si>
  <si>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</si>
  <si>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</si>
  <si>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</si>
  <si>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</si>
  <si>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</si>
  <si>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</si>
  <si>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</si>
  <si>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</si>
  <si>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</si>
  <si>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</si>
  <si>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</si>
  <si>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</si>
  <si>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</si>
  <si>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</si>
  <si>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</si>
  <si>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</si>
  <si>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</si>
  <si>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</si>
  <si>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</si>
  <si>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</si>
  <si>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</si>
  <si>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</si>
  <si>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</si>
  <si>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</si>
  <si>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</si>
  <si>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</si>
  <si>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</si>
  <si>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</si>
  <si>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</si>
  <si>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</si>
  <si>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</si>
  <si>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</si>
  <si>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</si>
  <si>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</si>
  <si>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</si>
  <si>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</si>
  <si>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</si>
  <si>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</si>
  <si>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</si>
  <si>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</si>
  <si>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</si>
  <si>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</si>
  <si>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</si>
  <si>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</si>
  <si>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</si>
  <si>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</si>
  <si>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</si>
  <si>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</si>
  <si>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</si>
  <si>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</si>
  <si>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</si>
  <si>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</si>
  <si>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</si>
  <si>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</si>
  <si>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</si>
  <si>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</si>
  <si>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</si>
  <si>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</si>
  <si>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</si>
  <si>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</si>
  <si>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</si>
  <si>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</si>
  <si>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</si>
  <si>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</si>
  <si>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</si>
  <si>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</si>
  <si>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</si>
  <si>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</si>
  <si>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</si>
  <si>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</si>
  <si>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</si>
  <si>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</si>
  <si>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</si>
  <si>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</si>
  <si>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</si>
  <si>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</si>
  <si>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</si>
  <si>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</si>
  <si>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</si>
  <si>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</si>
  <si>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</si>
  <si>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</si>
  <si>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</si>
  <si>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</si>
  <si>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</si>
  <si>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</si>
  <si>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</si>
  <si>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</si>
  <si>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</si>
  <si>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</si>
  <si>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</si>
  <si>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</si>
  <si>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</si>
  <si>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</si>
  <si>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</si>
  <si>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</si>
  <si>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</si>
  <si>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</si>
  <si>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</si>
  <si>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</si>
  <si>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13004</t>
  </si>
  <si>
    <t>BEERSE</t>
  </si>
  <si>
    <t>Eandis (januari 2018); Infrax (juni 2018)</t>
  </si>
  <si>
    <t>MOW (september 2017)</t>
  </si>
  <si>
    <t>referentietaak LNE (2017); Jaarverslag De Lijn (2016)</t>
  </si>
  <si>
    <t>VEA (april 2018)</t>
  </si>
  <si>
    <t>VEA (januari 2017)</t>
  </si>
  <si>
    <t>VEA (juni 2018)</t>
  </si>
  <si>
    <t>Baanheidehof bvba</t>
  </si>
  <si>
    <t>Oostmalseweg 169 , 2340 Beerse</t>
  </si>
  <si>
    <t>WKK-0252 Baanheidehof</t>
  </si>
  <si>
    <t>interne verbrandingsmotor</t>
  </si>
  <si>
    <t>WKK interne verbrandinsgmotor (gas)</t>
  </si>
  <si>
    <t>IVEKA</t>
  </si>
  <si>
    <t>Biolectric nv</t>
  </si>
  <si>
    <t>Jan de Malschelaan 4 B, 9140 Temse</t>
  </si>
  <si>
    <t>WKK-0480 Dirk Eyckens</t>
  </si>
  <si>
    <t>Steenbakkersdam 3 , 2340 Beerse</t>
  </si>
  <si>
    <t>WKK-0495 Bart Jochems</t>
  </si>
  <si>
    <t>Wetschot 34-36 , 2340 Beerse</t>
  </si>
  <si>
    <t>AGB Beerse</t>
  </si>
  <si>
    <t>Rerum Novarumlaan 31 , 2340 Beerse</t>
  </si>
  <si>
    <t>WKK-0567 AGB Beerse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</si>
</sst>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152050.27959966255</c:v>
                </c:pt>
                <c:pt idx="1">
                  <c:v>37655.809422240149</c:v>
                </c:pt>
                <c:pt idx="2">
                  <c:v>863.63</c:v>
                </c:pt>
                <c:pt idx="3">
                  <c:v>36483.102742999239</c:v>
                </c:pt>
                <c:pt idx="4">
                  <c:v>725053.77848481783</c:v>
                </c:pt>
                <c:pt idx="5">
                  <c:v>56763.287418373577</c:v>
                </c:pt>
                <c:pt idx="6">
                  <c:v>2665.6764351072402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83040"/>
        <c:axId val="176584576"/>
      </c:barChart>
      <c:catAx>
        <c:axId val="176583040"/>
        <c:scaling>
          <c:orientation val="minMax"/>
        </c:scaling>
        <c:axPos val="b"/>
        <c:numFmt formatCode="General" sourceLinked="0"/>
        <c:tickLblPos val="nextTo"/>
        <c:crossAx val="176584576"/>
        <c:crosses val="autoZero"/>
        <c:auto val="1"/>
        <c:lblAlgn val="ctr"/>
        <c:lblOffset val="100"/>
      </c:catAx>
      <c:valAx>
        <c:axId val="176584576"/>
        <c:scaling>
          <c:orientation val="minMax"/>
        </c:scaling>
        <c:axPos val="l"/>
        <c:majorGridlines>
          <c:spPr>
            <a:ln>
              <a:noFill/>
            </a:ln>
          </c:spPr>
        </c:majorGridlines>
        <c:numFmt formatCode="#,##0" sourceLinked="1"/>
        <c:tickLblPos val="nextTo"/>
        <c:crossAx val="1765830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152050.27959966255</c:v>
                </c:pt>
                <c:pt idx="1">
                  <c:v>37655.809422240149</c:v>
                </c:pt>
                <c:pt idx="2">
                  <c:v>863.63</c:v>
                </c:pt>
                <c:pt idx="3">
                  <c:v>36483.102742999239</c:v>
                </c:pt>
                <c:pt idx="4">
                  <c:v>725053.77848481783</c:v>
                </c:pt>
                <c:pt idx="5">
                  <c:v>56763.287418373577</c:v>
                </c:pt>
                <c:pt idx="6">
                  <c:v>2665.6764351072402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24490.244499701221</c:v>
                </c:pt>
                <c:pt idx="2">
                  <c:v>7703.0847737416507</c:v>
                </c:pt>
                <c:pt idx="3">
                  <c:v>185.58961167695952</c:v>
                </c:pt>
                <c:pt idx="4">
                  <c:v>8813.1783074655541</c:v>
                </c:pt>
                <c:pt idx="5">
                  <c:v>153292.17827524946</c:v>
                </c:pt>
                <c:pt idx="6">
                  <c:v>14203.308468715004</c:v>
                </c:pt>
                <c:pt idx="7">
                  <c:v>673.48465303092155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0016"/>
        <c:axId val="183275904"/>
      </c:barChart>
      <c:catAx>
        <c:axId val="183270016"/>
        <c:scaling>
          <c:orientation val="minMax"/>
        </c:scaling>
        <c:axPos val="b"/>
        <c:numFmt formatCode="General" sourceLinked="0"/>
        <c:tickLblPos val="nextTo"/>
        <c:crossAx val="183275904"/>
        <c:crosses val="autoZero"/>
        <c:auto val="1"/>
        <c:lblAlgn val="ctr"/>
        <c:lblOffset val="100"/>
      </c:catAx>
      <c:valAx>
        <c:axId val="183275904"/>
        <c:scaling>
          <c:orientation val="minMax"/>
        </c:scaling>
        <c:axPos val="l"/>
        <c:majorGridlines>
          <c:spPr>
            <a:ln>
              <a:noFill/>
            </a:ln>
          </c:spPr>
        </c:majorGridlines>
        <c:numFmt formatCode="#,##0" sourceLinked="1"/>
        <c:tickLblPos val="nextTo"/>
        <c:crossAx val="1832700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24490.244499701221</c:v>
                </c:pt>
                <c:pt idx="2">
                  <c:v>7703.0847737416507</c:v>
                </c:pt>
                <c:pt idx="3">
                  <c:v>185.58961167695952</c:v>
                </c:pt>
                <c:pt idx="4">
                  <c:v>8813.1783074655541</c:v>
                </c:pt>
                <c:pt idx="5">
                  <c:v>153292.17827524946</c:v>
                </c:pt>
                <c:pt idx="6">
                  <c:v>14203.308468715004</c:v>
                </c:pt>
                <c:pt idx="7">
                  <c:v>673.48465303092155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13004</v>
      </c>
      <c r="B6" s="415"/>
      <c r="C6" s="416"/>
    </row>
    <row r="7" spans="1:7" s="413" customFormat="1" ht="15.75" customHeight="1">
      <c r="A7" s="417" t="str">
        <f>txtMunicipality</f>
        <v>BEERSE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15257.68778506833</v>
      </c>
      <c r="D10" s="1013">
        <f ca="1">tertiair!C16</f>
        <v>450.00000000000011</v>
      </c>
      <c r="E10" s="1013">
        <f ca="1">tertiair!D16</f>
        <v>18769.71053137978</v>
      </c>
      <c r="F10" s="1013">
        <f>tertiair!E16</f>
        <v>242.83415396987829</v>
      </c>
      <c r="G10" s="1013">
        <f ca="1">tertiair!F16</f>
        <v>2460.7687619862436</v>
      </c>
      <c r="H10" s="1013">
        <f>tertiair!G16</f>
        <v>0</v>
      </c>
      <c r="I10" s="1013">
        <f>tertiair!H16</f>
        <v>0</v>
      </c>
      <c r="J10" s="1013">
        <f>tertiair!I16</f>
        <v>0</v>
      </c>
      <c r="K10" s="1013">
        <f>tertiair!J16</f>
        <v>3.1072955424853353E-2</v>
      </c>
      <c r="L10" s="1013">
        <f>tertiair!K16</f>
        <v>0</v>
      </c>
      <c r="M10" s="1013">
        <f ca="1">tertiair!L16</f>
        <v>0</v>
      </c>
      <c r="N10" s="1013">
        <f>tertiair!M16</f>
        <v>0</v>
      </c>
      <c r="O10" s="1013">
        <f ca="1">tertiair!N16</f>
        <v>1238.3837835471522</v>
      </c>
      <c r="P10" s="1013">
        <f>tertiair!O16</f>
        <v>4.6900000000000004</v>
      </c>
      <c r="Q10" s="1014">
        <f>tertiair!P16</f>
        <v>95.333333333333343</v>
      </c>
      <c r="R10" s="700">
        <f ca="1">SUM(C10:Q10)</f>
        <v>38519.439422240146</v>
      </c>
      <c r="S10" s="67"/>
    </row>
    <row r="11" spans="1:19" s="473" customFormat="1">
      <c r="A11" s="809" t="s">
        <v>225</v>
      </c>
      <c r="B11" s="814"/>
      <c r="C11" s="1013">
        <f>huishoudens!B8</f>
        <v>31163.982591533335</v>
      </c>
      <c r="D11" s="1013">
        <f>huishoudens!C8</f>
        <v>0</v>
      </c>
      <c r="E11" s="1013">
        <f>huishoudens!D8</f>
        <v>85353.01410102543</v>
      </c>
      <c r="F11" s="1013">
        <f>huishoudens!E8</f>
        <v>2431.5298848299976</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31488.783022273783</v>
      </c>
      <c r="P11" s="1013">
        <f>huishoudens!O8</f>
        <v>373.63666666666671</v>
      </c>
      <c r="Q11" s="1014">
        <f>huishoudens!P8</f>
        <v>1239.3333333333333</v>
      </c>
      <c r="R11" s="700">
        <f>SUM(C11:Q11)</f>
        <v>152050.27959966255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235288.709766555</v>
      </c>
      <c r="D13" s="1013">
        <f>industrie!C18</f>
        <v>0</v>
      </c>
      <c r="E13" s="1013">
        <f>industrie!D18</f>
        <v>407834.36746705294</v>
      </c>
      <c r="F13" s="1013">
        <f>industrie!E18</f>
        <v>3736.2019974018058</v>
      </c>
      <c r="G13" s="1013">
        <f>industrie!F18</f>
        <v>37788.747315803426</v>
      </c>
      <c r="H13" s="1013">
        <f>industrie!G18</f>
        <v>0</v>
      </c>
      <c r="I13" s="1013">
        <f>industrie!H18</f>
        <v>0</v>
      </c>
      <c r="J13" s="1013">
        <f>industrie!I18</f>
        <v>0</v>
      </c>
      <c r="K13" s="1013">
        <f>industrie!J18</f>
        <v>26580.785862600289</v>
      </c>
      <c r="L13" s="1013">
        <f>industrie!K18</f>
        <v>0</v>
      </c>
      <c r="M13" s="1013">
        <f>industrie!L18</f>
        <v>0</v>
      </c>
      <c r="N13" s="1013">
        <f>industrie!M18</f>
        <v>0</v>
      </c>
      <c r="O13" s="1013">
        <f>industrie!N18</f>
        <v>13824.966075404376</v>
      </c>
      <c r="P13" s="1013">
        <f>industrie!O18</f>
        <v>0</v>
      </c>
      <c r="Q13" s="1014">
        <f>industrie!P18</f>
        <v>0</v>
      </c>
      <c r="R13" s="700">
        <f>SUM(C13:Q13)</f>
        <v>725053.77848481783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281710.38014315668</v>
      </c>
      <c r="D16" s="732">
        <f t="shared" ref="D16:R16" ca="1" si="0">SUM(D9:D15)</f>
        <v>450.00000000000011</v>
      </c>
      <c r="E16" s="732">
        <f t="shared" ca="1" si="0"/>
        <v>511957.09209945815</v>
      </c>
      <c r="F16" s="732">
        <f t="shared" si="0"/>
        <v>6410.5660362016815</v>
      </c>
      <c r="G16" s="732">
        <f t="shared" ca="1" si="0"/>
        <v>40249.516077789667</v>
      </c>
      <c r="H16" s="732">
        <f t="shared" si="0"/>
        <v>0</v>
      </c>
      <c r="I16" s="732">
        <f t="shared" si="0"/>
        <v>0</v>
      </c>
      <c r="J16" s="732">
        <f t="shared" si="0"/>
        <v>0</v>
      </c>
      <c r="K16" s="732">
        <f t="shared" si="0"/>
        <v>26580.816935555715</v>
      </c>
      <c r="L16" s="732">
        <f t="shared" si="0"/>
        <v>0</v>
      </c>
      <c r="M16" s="732">
        <f t="shared" ca="1" si="0"/>
        <v>0</v>
      </c>
      <c r="N16" s="732">
        <f t="shared" si="0"/>
        <v>0</v>
      </c>
      <c r="O16" s="732">
        <f t="shared" ca="1" si="0"/>
        <v>46552.132881225312</v>
      </c>
      <c r="P16" s="732">
        <f t="shared" si="0"/>
        <v>378.32666666666671</v>
      </c>
      <c r="Q16" s="732">
        <f t="shared" si="0"/>
        <v>1334.6666666666665</v>
      </c>
      <c r="R16" s="732">
        <f t="shared" ca="1" si="0"/>
        <v>915623.49750672048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2522.4144308274213</v>
      </c>
      <c r="I19" s="1013">
        <f>transport!H54</f>
        <v>0</v>
      </c>
      <c r="J19" s="1013">
        <f>transport!I54</f>
        <v>0</v>
      </c>
      <c r="K19" s="1013">
        <f>transport!J54</f>
        <v>0</v>
      </c>
      <c r="L19" s="1013">
        <f>transport!K54</f>
        <v>0</v>
      </c>
      <c r="M19" s="1013">
        <f>transport!L54</f>
        <v>0</v>
      </c>
      <c r="N19" s="1013">
        <f>transport!M54</f>
        <v>143.26200427981914</v>
      </c>
      <c r="O19" s="1013">
        <f>transport!N54</f>
        <v>0</v>
      </c>
      <c r="P19" s="1013">
        <f>transport!O54</f>
        <v>0</v>
      </c>
      <c r="Q19" s="1014">
        <f>transport!P54</f>
        <v>0</v>
      </c>
      <c r="R19" s="700">
        <f>SUM(C19:Q19)</f>
        <v>2665.6764351072402</v>
      </c>
      <c r="S19" s="67"/>
    </row>
    <row r="20" spans="1:19" s="473" customFormat="1">
      <c r="A20" s="809" t="s">
        <v>307</v>
      </c>
      <c r="B20" s="814"/>
      <c r="C20" s="1013">
        <f>transport!B14</f>
        <v>26.7074853131212</v>
      </c>
      <c r="D20" s="1013">
        <f>transport!C14</f>
        <v>0</v>
      </c>
      <c r="E20" s="1013">
        <f>transport!D14</f>
        <v>88.756386093343934</v>
      </c>
      <c r="F20" s="1013">
        <f>transport!E14</f>
        <v>119.25876015551789</v>
      </c>
      <c r="G20" s="1013">
        <f>transport!F14</f>
        <v>0</v>
      </c>
      <c r="H20" s="1013">
        <f>transport!G14</f>
        <v>43646.82664213307</v>
      </c>
      <c r="I20" s="1013">
        <f>transport!H14</f>
        <v>10035.606130616381</v>
      </c>
      <c r="J20" s="1013">
        <f>transport!I14</f>
        <v>0</v>
      </c>
      <c r="K20" s="1013">
        <f>transport!J14</f>
        <v>0</v>
      </c>
      <c r="L20" s="1013">
        <f>transport!K14</f>
        <v>0</v>
      </c>
      <c r="M20" s="1013">
        <f>transport!L14</f>
        <v>0</v>
      </c>
      <c r="N20" s="1013">
        <f>transport!M14</f>
        <v>2846.132014062136</v>
      </c>
      <c r="O20" s="1013">
        <f>transport!N14</f>
        <v>0</v>
      </c>
      <c r="P20" s="1013">
        <f>transport!O14</f>
        <v>0</v>
      </c>
      <c r="Q20" s="1014">
        <f>transport!P14</f>
        <v>0</v>
      </c>
      <c r="R20" s="700">
        <f>SUM(C20:Q20)</f>
        <v>56763.287418373577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26.7074853131212</v>
      </c>
      <c r="D22" s="812">
        <f t="shared" ref="D22:R22" si="1">SUM(D18:D21)</f>
        <v>0</v>
      </c>
      <c r="E22" s="812">
        <f t="shared" si="1"/>
        <v>88.756386093343934</v>
      </c>
      <c r="F22" s="812">
        <f t="shared" si="1"/>
        <v>119.25876015551789</v>
      </c>
      <c r="G22" s="812">
        <f t="shared" si="1"/>
        <v>0</v>
      </c>
      <c r="H22" s="812">
        <f t="shared" si="1"/>
        <v>46169.241072960489</v>
      </c>
      <c r="I22" s="812">
        <f t="shared" si="1"/>
        <v>10035.606130616381</v>
      </c>
      <c r="J22" s="812">
        <f t="shared" si="1"/>
        <v>0</v>
      </c>
      <c r="K22" s="812">
        <f t="shared" si="1"/>
        <v>0</v>
      </c>
      <c r="L22" s="812">
        <f t="shared" si="1"/>
        <v>0</v>
      </c>
      <c r="M22" s="812">
        <f t="shared" si="1"/>
        <v>0</v>
      </c>
      <c r="N22" s="812">
        <f t="shared" si="1"/>
        <v>2989.394018341955</v>
      </c>
      <c r="O22" s="812">
        <f t="shared" si="1"/>
        <v>0</v>
      </c>
      <c r="P22" s="812">
        <f t="shared" si="1"/>
        <v>0</v>
      </c>
      <c r="Q22" s="812">
        <f t="shared" si="1"/>
        <v>0</v>
      </c>
      <c r="R22" s="812">
        <f t="shared" si="1"/>
        <v>59428.963853480818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1609.5443605441931</v>
      </c>
      <c r="D24" s="1013">
        <f>+landbouw!C8</f>
        <v>27887.785714285714</v>
      </c>
      <c r="E24" s="1013">
        <f>+landbouw!D8</f>
        <v>0</v>
      </c>
      <c r="F24" s="1013">
        <f>+landbouw!E8</f>
        <v>47.309424872296397</v>
      </c>
      <c r="G24" s="1013">
        <f>+landbouw!F8</f>
        <v>6705.2748308149903</v>
      </c>
      <c r="H24" s="1013">
        <f>+landbouw!G8</f>
        <v>0</v>
      </c>
      <c r="I24" s="1013">
        <f>+landbouw!H8</f>
        <v>0</v>
      </c>
      <c r="J24" s="1013">
        <f>+landbouw!I8</f>
        <v>0</v>
      </c>
      <c r="K24" s="1013">
        <f>+landbouw!J8</f>
        <v>233.18841248204507</v>
      </c>
      <c r="L24" s="1013">
        <f>+landbouw!K8</f>
        <v>0</v>
      </c>
      <c r="M24" s="1013">
        <f>+landbouw!L8</f>
        <v>0</v>
      </c>
      <c r="N24" s="1013">
        <f>+landbouw!M8</f>
        <v>0</v>
      </c>
      <c r="O24" s="1013">
        <f>+landbouw!N8</f>
        <v>0</v>
      </c>
      <c r="P24" s="1013">
        <f>+landbouw!O8</f>
        <v>0</v>
      </c>
      <c r="Q24" s="1014">
        <f>+landbouw!P8</f>
        <v>0</v>
      </c>
      <c r="R24" s="700">
        <f>SUM(C24:Q24)</f>
        <v>36483.102742999239</v>
      </c>
      <c r="S24" s="67"/>
    </row>
    <row r="25" spans="1:19" s="473" customFormat="1" ht="15" thickBot="1">
      <c r="A25" s="831" t="s">
        <v>836</v>
      </c>
      <c r="B25" s="1016"/>
      <c r="C25" s="1017">
        <f>IF(Onbekend_ele_kWh="---",0,Onbekend_ele_kWh)/1000+IF(REST_rest_ele_kWh="---",0,REST_rest_ele_kWh)/1000</f>
        <v>890.05940067558402</v>
      </c>
      <c r="D25" s="1017"/>
      <c r="E25" s="1017">
        <f>IF(onbekend_gas_kWh="---",0,onbekend_gas_kWh)/1000+IF(REST_rest_gas_kWh="---",0,REST_rest_gas_kWh)/1000</f>
        <v>2126.8186616256598</v>
      </c>
      <c r="F25" s="1017"/>
      <c r="G25" s="1017"/>
      <c r="H25" s="1017"/>
      <c r="I25" s="1017"/>
      <c r="J25" s="1017"/>
      <c r="K25" s="1017"/>
      <c r="L25" s="1017"/>
      <c r="M25" s="1017"/>
      <c r="N25" s="1017"/>
      <c r="O25" s="1017"/>
      <c r="P25" s="1017"/>
      <c r="Q25" s="1018"/>
      <c r="R25" s="700">
        <f>SUM(C25:Q25)</f>
        <v>3016.878062301244</v>
      </c>
      <c r="S25" s="67"/>
    </row>
    <row r="26" spans="1:19" s="473" customFormat="1" ht="15.75" thickBot="1">
      <c r="A26" s="705" t="s">
        <v>837</v>
      </c>
      <c r="B26" s="817"/>
      <c r="C26" s="812">
        <f>SUM(C24:C25)</f>
        <v>2499.603761219777</v>
      </c>
      <c r="D26" s="812">
        <f t="shared" ref="D26:R26" si="2">SUM(D24:D25)</f>
        <v>27887.785714285714</v>
      </c>
      <c r="E26" s="812">
        <f t="shared" si="2"/>
        <v>2126.8186616256598</v>
      </c>
      <c r="F26" s="812">
        <f t="shared" si="2"/>
        <v>47.309424872296397</v>
      </c>
      <c r="G26" s="812">
        <f t="shared" si="2"/>
        <v>6705.2748308149903</v>
      </c>
      <c r="H26" s="812">
        <f t="shared" si="2"/>
        <v>0</v>
      </c>
      <c r="I26" s="812">
        <f t="shared" si="2"/>
        <v>0</v>
      </c>
      <c r="J26" s="812">
        <f t="shared" si="2"/>
        <v>0</v>
      </c>
      <c r="K26" s="812">
        <f t="shared" si="2"/>
        <v>233.18841248204507</v>
      </c>
      <c r="L26" s="812">
        <f t="shared" si="2"/>
        <v>0</v>
      </c>
      <c r="M26" s="812">
        <f t="shared" si="2"/>
        <v>0</v>
      </c>
      <c r="N26" s="812">
        <f t="shared" si="2"/>
        <v>0</v>
      </c>
      <c r="O26" s="812">
        <f t="shared" si="2"/>
        <v>0</v>
      </c>
      <c r="P26" s="812">
        <f t="shared" si="2"/>
        <v>0</v>
      </c>
      <c r="Q26" s="812">
        <f t="shared" si="2"/>
        <v>0</v>
      </c>
      <c r="R26" s="812">
        <f t="shared" si="2"/>
        <v>39499.980805300482</v>
      </c>
      <c r="S26" s="67"/>
    </row>
    <row r="27" spans="1:19" s="473" customFormat="1" ht="17.25" thickTop="1" thickBot="1">
      <c r="A27" s="706" t="s">
        <v>116</v>
      </c>
      <c r="B27" s="805"/>
      <c r="C27" s="707">
        <f ca="1">C22+C16+C26</f>
        <v>284236.69138968957</v>
      </c>
      <c r="D27" s="707">
        <f t="shared" ref="D27:R27" ca="1" si="3">D22+D16+D26</f>
        <v>28337.785714285714</v>
      </c>
      <c r="E27" s="707">
        <f t="shared" ca="1" si="3"/>
        <v>514172.66714717716</v>
      </c>
      <c r="F27" s="707">
        <f t="shared" si="3"/>
        <v>6577.1342212294958</v>
      </c>
      <c r="G27" s="707">
        <f t="shared" ca="1" si="3"/>
        <v>46954.790908604657</v>
      </c>
      <c r="H27" s="707">
        <f t="shared" si="3"/>
        <v>46169.241072960489</v>
      </c>
      <c r="I27" s="707">
        <f t="shared" si="3"/>
        <v>10035.606130616381</v>
      </c>
      <c r="J27" s="707">
        <f t="shared" si="3"/>
        <v>0</v>
      </c>
      <c r="K27" s="707">
        <f t="shared" si="3"/>
        <v>26814.005348037761</v>
      </c>
      <c r="L27" s="707">
        <f t="shared" si="3"/>
        <v>0</v>
      </c>
      <c r="M27" s="707">
        <f t="shared" ca="1" si="3"/>
        <v>0</v>
      </c>
      <c r="N27" s="707">
        <f t="shared" si="3"/>
        <v>2989.394018341955</v>
      </c>
      <c r="O27" s="707">
        <f t="shared" ca="1" si="3"/>
        <v>46552.132881225312</v>
      </c>
      <c r="P27" s="707">
        <f t="shared" si="3"/>
        <v>378.32666666666671</v>
      </c>
      <c r="Q27" s="707">
        <f t="shared" si="3"/>
        <v>1334.6666666666665</v>
      </c>
      <c r="R27" s="707">
        <f t="shared" ca="1" si="3"/>
        <v>1014552.4421655018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3278.7980398076957</v>
      </c>
      <c r="D40" s="1013">
        <f ca="1">tertiair!C20</f>
        <v>106.23520604448765</v>
      </c>
      <c r="E40" s="1013">
        <f ca="1">tertiair!D20</f>
        <v>3791.4815273387158</v>
      </c>
      <c r="F40" s="1013">
        <f>tertiair!E20</f>
        <v>55.123352951162374</v>
      </c>
      <c r="G40" s="1013">
        <f ca="1">tertiair!F20</f>
        <v>657.0252594503271</v>
      </c>
      <c r="H40" s="1013">
        <f>tertiair!G20</f>
        <v>0</v>
      </c>
      <c r="I40" s="1013">
        <f>tertiair!H20</f>
        <v>0</v>
      </c>
      <c r="J40" s="1013">
        <f>tertiair!I20</f>
        <v>0</v>
      </c>
      <c r="K40" s="1013">
        <f>tertiair!J20</f>
        <v>1.0999826220398086E-2</v>
      </c>
      <c r="L40" s="1013">
        <f>tertiair!K20</f>
        <v>0</v>
      </c>
      <c r="M40" s="1013">
        <f ca="1">tertiair!L20</f>
        <v>0</v>
      </c>
      <c r="N40" s="1013">
        <f>tertiair!M20</f>
        <v>0</v>
      </c>
      <c r="O40" s="1013">
        <f ca="1">tertiair!N20</f>
        <v>0</v>
      </c>
      <c r="P40" s="1013">
        <f>tertiair!O20</f>
        <v>0</v>
      </c>
      <c r="Q40" s="774">
        <f>tertiair!P20</f>
        <v>0</v>
      </c>
      <c r="R40" s="850">
        <f t="shared" ca="1" si="4"/>
        <v>7888.6743854186097</v>
      </c>
    </row>
    <row r="41" spans="1:18">
      <c r="A41" s="822" t="s">
        <v>225</v>
      </c>
      <c r="B41" s="829"/>
      <c r="C41" s="1013">
        <f ca="1">huishoudens!B12</f>
        <v>6696.978367437674</v>
      </c>
      <c r="D41" s="1013">
        <f ca="1">huishoudens!C12</f>
        <v>0</v>
      </c>
      <c r="E41" s="1013">
        <f>huishoudens!D12</f>
        <v>17241.308848407138</v>
      </c>
      <c r="F41" s="1013">
        <f>huishoudens!E12</f>
        <v>551.9572838564095</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24490.244499701221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50562.324464814534</v>
      </c>
      <c r="D43" s="1013">
        <f ca="1">industrie!C22</f>
        <v>0</v>
      </c>
      <c r="E43" s="1013">
        <f>industrie!D22</f>
        <v>82382.542228344697</v>
      </c>
      <c r="F43" s="1013">
        <f>industrie!E22</f>
        <v>848.11785341020993</v>
      </c>
      <c r="G43" s="1013">
        <f>industrie!F22</f>
        <v>10089.595533319516</v>
      </c>
      <c r="H43" s="1013">
        <f>industrie!G22</f>
        <v>0</v>
      </c>
      <c r="I43" s="1013">
        <f>industrie!H22</f>
        <v>0</v>
      </c>
      <c r="J43" s="1013">
        <f>industrie!I22</f>
        <v>0</v>
      </c>
      <c r="K43" s="1013">
        <f>industrie!J22</f>
        <v>9409.5981953605024</v>
      </c>
      <c r="L43" s="1013">
        <f>industrie!K22</f>
        <v>0</v>
      </c>
      <c r="M43" s="1013">
        <f>industrie!L22</f>
        <v>0</v>
      </c>
      <c r="N43" s="1013">
        <f>industrie!M22</f>
        <v>0</v>
      </c>
      <c r="O43" s="1013">
        <f>industrie!N22</f>
        <v>0</v>
      </c>
      <c r="P43" s="1013">
        <f>industrie!O22</f>
        <v>0</v>
      </c>
      <c r="Q43" s="774">
        <f>industrie!P22</f>
        <v>0</v>
      </c>
      <c r="R43" s="849">
        <f t="shared" ca="1" si="4"/>
        <v>153292.17827524946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60538.100872059906</v>
      </c>
      <c r="D46" s="732">
        <f t="shared" ref="D46:Q46" ca="1" si="5">SUM(D39:D45)</f>
        <v>106.23520604448765</v>
      </c>
      <c r="E46" s="732">
        <f t="shared" ca="1" si="5"/>
        <v>103415.33260409055</v>
      </c>
      <c r="F46" s="732">
        <f t="shared" si="5"/>
        <v>1455.1984902177819</v>
      </c>
      <c r="G46" s="732">
        <f t="shared" ca="1" si="5"/>
        <v>10746.620792769843</v>
      </c>
      <c r="H46" s="732">
        <f t="shared" si="5"/>
        <v>0</v>
      </c>
      <c r="I46" s="732">
        <f t="shared" si="5"/>
        <v>0</v>
      </c>
      <c r="J46" s="732">
        <f t="shared" si="5"/>
        <v>0</v>
      </c>
      <c r="K46" s="732">
        <f t="shared" si="5"/>
        <v>9409.609195186722</v>
      </c>
      <c r="L46" s="732">
        <f t="shared" si="5"/>
        <v>0</v>
      </c>
      <c r="M46" s="732">
        <f t="shared" ca="1" si="5"/>
        <v>0</v>
      </c>
      <c r="N46" s="732">
        <f t="shared" si="5"/>
        <v>0</v>
      </c>
      <c r="O46" s="732">
        <f t="shared" ca="1" si="5"/>
        <v>0</v>
      </c>
      <c r="P46" s="732">
        <f t="shared" si="5"/>
        <v>0</v>
      </c>
      <c r="Q46" s="732">
        <f t="shared" si="5"/>
        <v>0</v>
      </c>
      <c r="R46" s="732">
        <f ca="1">SUM(R39:R45)</f>
        <v>185671.0971603693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673.48465303092155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673.48465303092155</v>
      </c>
    </row>
    <row r="50" spans="1:18">
      <c r="A50" s="825" t="s">
        <v>307</v>
      </c>
      <c r="B50" s="835"/>
      <c r="C50" s="703">
        <f ca="1">transport!B18</f>
        <v>5.7393001958364849</v>
      </c>
      <c r="D50" s="703">
        <f>transport!C18</f>
        <v>0</v>
      </c>
      <c r="E50" s="703">
        <f>transport!D18</f>
        <v>17.928789990855474</v>
      </c>
      <c r="F50" s="703">
        <f>transport!E18</f>
        <v>27.071738555302563</v>
      </c>
      <c r="G50" s="703">
        <f>transport!F18</f>
        <v>0</v>
      </c>
      <c r="H50" s="703">
        <f>transport!G18</f>
        <v>11653.702713449531</v>
      </c>
      <c r="I50" s="703">
        <f>transport!H18</f>
        <v>2498.8659265234787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14203.308468715004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5.7393001958364849</v>
      </c>
      <c r="D52" s="732">
        <f t="shared" ref="D52:Q52" ca="1" si="6">SUM(D48:D51)</f>
        <v>0</v>
      </c>
      <c r="E52" s="732">
        <f t="shared" si="6"/>
        <v>17.928789990855474</v>
      </c>
      <c r="F52" s="732">
        <f t="shared" si="6"/>
        <v>27.071738555302563</v>
      </c>
      <c r="G52" s="732">
        <f t="shared" si="6"/>
        <v>0</v>
      </c>
      <c r="H52" s="732">
        <f t="shared" si="6"/>
        <v>12327.187366480453</v>
      </c>
      <c r="I52" s="732">
        <f t="shared" si="6"/>
        <v>2498.8659265234787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14876.793121745926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345.88274243627126</v>
      </c>
      <c r="D54" s="703">
        <f ca="1">+landbouw!C12</f>
        <v>6583.6992477370259</v>
      </c>
      <c r="E54" s="703">
        <f>+landbouw!D12</f>
        <v>0</v>
      </c>
      <c r="F54" s="703">
        <f>+landbouw!E12</f>
        <v>10.739239446011283</v>
      </c>
      <c r="G54" s="703">
        <f>+landbouw!F12</f>
        <v>1790.3083798276025</v>
      </c>
      <c r="H54" s="703">
        <f>+landbouw!G12</f>
        <v>0</v>
      </c>
      <c r="I54" s="703">
        <f>+landbouw!H12</f>
        <v>0</v>
      </c>
      <c r="J54" s="703">
        <f>+landbouw!I12</f>
        <v>0</v>
      </c>
      <c r="K54" s="703">
        <f>+landbouw!J12</f>
        <v>82.548698018643947</v>
      </c>
      <c r="L54" s="703">
        <f>+landbouw!K12</f>
        <v>0</v>
      </c>
      <c r="M54" s="703">
        <f>+landbouw!L12</f>
        <v>0</v>
      </c>
      <c r="N54" s="703">
        <f>+landbouw!M12</f>
        <v>0</v>
      </c>
      <c r="O54" s="703">
        <f>+landbouw!N12</f>
        <v>0</v>
      </c>
      <c r="P54" s="703">
        <f>+landbouw!O12</f>
        <v>0</v>
      </c>
      <c r="Q54" s="704">
        <f>+landbouw!P12</f>
        <v>0</v>
      </c>
      <c r="R54" s="731">
        <f ca="1">SUM(C54:Q54)</f>
        <v>8813.1783074655541</v>
      </c>
    </row>
    <row r="55" spans="1:18" ht="15" thickBot="1">
      <c r="A55" s="825" t="s">
        <v>836</v>
      </c>
      <c r="B55" s="835"/>
      <c r="C55" s="703">
        <f ca="1">C25*'EF ele_warmte'!B12</f>
        <v>191.26915292522142</v>
      </c>
      <c r="D55" s="703"/>
      <c r="E55" s="703">
        <f>E25*EF_CO2_aardgas</f>
        <v>429.61736964838332</v>
      </c>
      <c r="F55" s="703"/>
      <c r="G55" s="703"/>
      <c r="H55" s="703"/>
      <c r="I55" s="703"/>
      <c r="J55" s="703"/>
      <c r="K55" s="703"/>
      <c r="L55" s="703"/>
      <c r="M55" s="703"/>
      <c r="N55" s="703"/>
      <c r="O55" s="703"/>
      <c r="P55" s="703"/>
      <c r="Q55" s="704"/>
      <c r="R55" s="731">
        <f ca="1">SUM(C55:Q55)</f>
        <v>620.88652257360468</v>
      </c>
    </row>
    <row r="56" spans="1:18" ht="15.75" thickBot="1">
      <c r="A56" s="823" t="s">
        <v>837</v>
      </c>
      <c r="B56" s="836"/>
      <c r="C56" s="732">
        <f ca="1">SUM(C54:C55)</f>
        <v>537.15189536149273</v>
      </c>
      <c r="D56" s="732">
        <f t="shared" ref="D56:Q56" ca="1" si="7">SUM(D54:D55)</f>
        <v>6583.6992477370259</v>
      </c>
      <c r="E56" s="732">
        <f t="shared" si="7"/>
        <v>429.61736964838332</v>
      </c>
      <c r="F56" s="732">
        <f t="shared" si="7"/>
        <v>10.739239446011283</v>
      </c>
      <c r="G56" s="732">
        <f t="shared" si="7"/>
        <v>1790.3083798276025</v>
      </c>
      <c r="H56" s="732">
        <f t="shared" si="7"/>
        <v>0</v>
      </c>
      <c r="I56" s="732">
        <f t="shared" si="7"/>
        <v>0</v>
      </c>
      <c r="J56" s="732">
        <f t="shared" si="7"/>
        <v>0</v>
      </c>
      <c r="K56" s="732">
        <f t="shared" si="7"/>
        <v>82.548698018643947</v>
      </c>
      <c r="L56" s="732">
        <f t="shared" si="7"/>
        <v>0</v>
      </c>
      <c r="M56" s="732">
        <f t="shared" si="7"/>
        <v>0</v>
      </c>
      <c r="N56" s="732">
        <f t="shared" si="7"/>
        <v>0</v>
      </c>
      <c r="O56" s="732">
        <f t="shared" si="7"/>
        <v>0</v>
      </c>
      <c r="P56" s="732">
        <f t="shared" si="7"/>
        <v>0</v>
      </c>
      <c r="Q56" s="733">
        <f t="shared" si="7"/>
        <v>0</v>
      </c>
      <c r="R56" s="734">
        <f ca="1">SUM(R54:R55)</f>
        <v>9434.0648300391586</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61080.992067617233</v>
      </c>
      <c r="D61" s="740">
        <f t="shared" ref="D61:Q61" ca="1" si="8">D46+D52+D56</f>
        <v>6689.9344537815132</v>
      </c>
      <c r="E61" s="740">
        <f t="shared" ca="1" si="8"/>
        <v>103862.87876372979</v>
      </c>
      <c r="F61" s="740">
        <f t="shared" si="8"/>
        <v>1493.0094682190957</v>
      </c>
      <c r="G61" s="740">
        <f t="shared" ca="1" si="8"/>
        <v>12536.929172597445</v>
      </c>
      <c r="H61" s="740">
        <f t="shared" si="8"/>
        <v>12327.187366480453</v>
      </c>
      <c r="I61" s="740">
        <f t="shared" si="8"/>
        <v>2498.8659265234787</v>
      </c>
      <c r="J61" s="740">
        <f t="shared" si="8"/>
        <v>0</v>
      </c>
      <c r="K61" s="740">
        <f t="shared" si="8"/>
        <v>9492.1578932053653</v>
      </c>
      <c r="L61" s="740">
        <f t="shared" si="8"/>
        <v>0</v>
      </c>
      <c r="M61" s="740">
        <f t="shared" ca="1" si="8"/>
        <v>0</v>
      </c>
      <c r="N61" s="740">
        <f t="shared" si="8"/>
        <v>0</v>
      </c>
      <c r="O61" s="740">
        <f t="shared" ca="1" si="8"/>
        <v>0</v>
      </c>
      <c r="P61" s="740">
        <f t="shared" si="8"/>
        <v>0</v>
      </c>
      <c r="Q61" s="740">
        <f t="shared" si="8"/>
        <v>0</v>
      </c>
      <c r="R61" s="740">
        <f ca="1">R46+R52+R56</f>
        <v>209981.95511215439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0.21489481800882268</v>
      </c>
      <c r="D63" s="781">
        <f t="shared" ca="1" si="9"/>
        <v>0.23607823565441696</v>
      </c>
      <c r="E63" s="1024">
        <f t="shared" ca="1" si="9"/>
        <v>0.20200000000000001</v>
      </c>
      <c r="F63" s="781">
        <f t="shared" si="9"/>
        <v>0.22700000000000001</v>
      </c>
      <c r="G63" s="781">
        <f t="shared" ca="1" si="9"/>
        <v>0.26700000000000007</v>
      </c>
      <c r="H63" s="781">
        <f t="shared" si="9"/>
        <v>0.26700000000000007</v>
      </c>
      <c r="I63" s="781">
        <f t="shared" si="9"/>
        <v>0.24899999999999997</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9205.499534620918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130.94999999999999</v>
      </c>
      <c r="C76" s="750">
        <f>'lokale energieproductie'!B8*IFERROR(SUM(D76:H76)/SUM(D76:O76),0)</f>
        <v>19705.5</v>
      </c>
      <c r="D76" s="1034">
        <f>'lokale energieproductie'!C8</f>
        <v>23182.941176470591</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154.05882352941177</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4682.9541176470593</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9336.4495346209187</v>
      </c>
      <c r="C78" s="755">
        <f>SUM(C72:C77)</f>
        <v>19705.5</v>
      </c>
      <c r="D78" s="756">
        <f t="shared" ref="D78:H78" si="10">SUM(D76:D77)</f>
        <v>23182.941176470591</v>
      </c>
      <c r="E78" s="756">
        <f t="shared" si="10"/>
        <v>0</v>
      </c>
      <c r="F78" s="756">
        <f t="shared" si="10"/>
        <v>0</v>
      </c>
      <c r="G78" s="756">
        <f t="shared" si="10"/>
        <v>0</v>
      </c>
      <c r="H78" s="756">
        <f t="shared" si="10"/>
        <v>0</v>
      </c>
      <c r="I78" s="756">
        <f>SUM(I76:I77)</f>
        <v>0</v>
      </c>
      <c r="J78" s="756">
        <f>SUM(J76:J77)</f>
        <v>154.05882352941177</v>
      </c>
      <c r="K78" s="756">
        <f t="shared" ref="K78:L78" si="11">SUM(K76:K77)</f>
        <v>0</v>
      </c>
      <c r="L78" s="756">
        <f t="shared" si="11"/>
        <v>0</v>
      </c>
      <c r="M78" s="756">
        <f>SUM(M76:M77)</f>
        <v>0</v>
      </c>
      <c r="N78" s="756">
        <f>SUM(N76:N77)</f>
        <v>0</v>
      </c>
      <c r="O78" s="860">
        <f>SUM(O76:O77)</f>
        <v>0</v>
      </c>
      <c r="P78" s="757">
        <v>0</v>
      </c>
      <c r="Q78" s="757">
        <f>SUM(Q76:Q77)</f>
        <v>4682.9541176470593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187.07142857142856</v>
      </c>
      <c r="C87" s="766">
        <f>'lokale energieproductie'!B17*IFERROR(SUM(D87:H87)/SUM(D87:O87),0)</f>
        <v>28150.71428571429</v>
      </c>
      <c r="D87" s="777">
        <f>'lokale energieproductie'!C17</f>
        <v>33118.487394957985</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220.08403361344537</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6689.9344537815132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187.07142857142856</v>
      </c>
      <c r="C90" s="755">
        <f>SUM(C87:C89)</f>
        <v>28150.71428571429</v>
      </c>
      <c r="D90" s="755">
        <f t="shared" ref="D90:H90" si="12">SUM(D87:D89)</f>
        <v>33118.487394957985</v>
      </c>
      <c r="E90" s="755">
        <f t="shared" si="12"/>
        <v>0</v>
      </c>
      <c r="F90" s="755">
        <f t="shared" si="12"/>
        <v>0</v>
      </c>
      <c r="G90" s="755">
        <f t="shared" si="12"/>
        <v>0</v>
      </c>
      <c r="H90" s="755">
        <f t="shared" si="12"/>
        <v>0</v>
      </c>
      <c r="I90" s="755">
        <f>SUM(I87:I89)</f>
        <v>0</v>
      </c>
      <c r="J90" s="755">
        <f>SUM(J87:J89)</f>
        <v>220.08403361344537</v>
      </c>
      <c r="K90" s="755">
        <f t="shared" ref="K90:L90" si="13">SUM(K87:K89)</f>
        <v>0</v>
      </c>
      <c r="L90" s="755">
        <f t="shared" si="13"/>
        <v>0</v>
      </c>
      <c r="M90" s="755">
        <f>SUM(M87:M89)</f>
        <v>0</v>
      </c>
      <c r="N90" s="755">
        <f>SUM(N87:N89)</f>
        <v>0</v>
      </c>
      <c r="O90" s="755">
        <f>SUM(O87:O89)</f>
        <v>0</v>
      </c>
      <c r="P90" s="755">
        <v>0</v>
      </c>
      <c r="Q90" s="755">
        <f>SUM(Q87:Q89)</f>
        <v>6689.9344537815132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31163.982591533335</v>
      </c>
      <c r="C4" s="477">
        <f>huishoudens!C8</f>
        <v>0</v>
      </c>
      <c r="D4" s="477">
        <f>huishoudens!D8</f>
        <v>85353.01410102543</v>
      </c>
      <c r="E4" s="477">
        <f>huishoudens!E8</f>
        <v>2431.5298848299976</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31488.783022273783</v>
      </c>
      <c r="O4" s="477">
        <f>huishoudens!O8</f>
        <v>373.63666666666671</v>
      </c>
      <c r="P4" s="478">
        <f>huishoudens!P8</f>
        <v>1239.3333333333333</v>
      </c>
      <c r="Q4" s="479">
        <f>SUM(B4:P4)</f>
        <v>152050.27959966255</v>
      </c>
    </row>
    <row r="5" spans="1:17">
      <c r="A5" s="476" t="s">
        <v>156</v>
      </c>
      <c r="B5" s="477">
        <f ca="1">tertiair!B16</f>
        <v>14394.057785068331</v>
      </c>
      <c r="C5" s="477">
        <f ca="1">tertiair!C16</f>
        <v>450.00000000000011</v>
      </c>
      <c r="D5" s="477">
        <f ca="1">tertiair!D16</f>
        <v>18769.71053137978</v>
      </c>
      <c r="E5" s="477">
        <f>tertiair!E16</f>
        <v>242.83415396987829</v>
      </c>
      <c r="F5" s="477">
        <f ca="1">tertiair!F16</f>
        <v>2460.7687619862436</v>
      </c>
      <c r="G5" s="477">
        <f>tertiair!G16</f>
        <v>0</v>
      </c>
      <c r="H5" s="477">
        <f>tertiair!H16</f>
        <v>0</v>
      </c>
      <c r="I5" s="477">
        <f>tertiair!I16</f>
        <v>0</v>
      </c>
      <c r="J5" s="477">
        <f>tertiair!J16</f>
        <v>3.1072955424853353E-2</v>
      </c>
      <c r="K5" s="477">
        <f>tertiair!K16</f>
        <v>0</v>
      </c>
      <c r="L5" s="477">
        <f ca="1">tertiair!L16</f>
        <v>0</v>
      </c>
      <c r="M5" s="477">
        <f>tertiair!M16</f>
        <v>0</v>
      </c>
      <c r="N5" s="477">
        <f ca="1">tertiair!N16</f>
        <v>1238.3837835471522</v>
      </c>
      <c r="O5" s="477">
        <f>tertiair!O16</f>
        <v>4.6900000000000004</v>
      </c>
      <c r="P5" s="478">
        <f>tertiair!P16</f>
        <v>95.333333333333343</v>
      </c>
      <c r="Q5" s="476">
        <f t="shared" ref="Q5:Q14" ca="1" si="0">SUM(B5:P5)</f>
        <v>37655.809422240149</v>
      </c>
    </row>
    <row r="6" spans="1:17">
      <c r="A6" s="476" t="s">
        <v>194</v>
      </c>
      <c r="B6" s="477">
        <f>'openbare verlichting'!B8</f>
        <v>863.63</v>
      </c>
      <c r="C6" s="477"/>
      <c r="D6" s="477"/>
      <c r="E6" s="477"/>
      <c r="F6" s="477"/>
      <c r="G6" s="477"/>
      <c r="H6" s="477"/>
      <c r="I6" s="477"/>
      <c r="J6" s="477"/>
      <c r="K6" s="477"/>
      <c r="L6" s="477"/>
      <c r="M6" s="477"/>
      <c r="N6" s="477"/>
      <c r="O6" s="477"/>
      <c r="P6" s="478"/>
      <c r="Q6" s="476">
        <f t="shared" si="0"/>
        <v>863.63</v>
      </c>
    </row>
    <row r="7" spans="1:17">
      <c r="A7" s="476" t="s">
        <v>112</v>
      </c>
      <c r="B7" s="477">
        <f>landbouw!B8</f>
        <v>1609.5443605441931</v>
      </c>
      <c r="C7" s="477">
        <f>landbouw!C8</f>
        <v>27887.785714285714</v>
      </c>
      <c r="D7" s="477">
        <f>landbouw!D8</f>
        <v>0</v>
      </c>
      <c r="E7" s="477">
        <f>landbouw!E8</f>
        <v>47.309424872296397</v>
      </c>
      <c r="F7" s="477">
        <f>landbouw!F8</f>
        <v>6705.2748308149903</v>
      </c>
      <c r="G7" s="477">
        <f>landbouw!G8</f>
        <v>0</v>
      </c>
      <c r="H7" s="477">
        <f>landbouw!H8</f>
        <v>0</v>
      </c>
      <c r="I7" s="477">
        <f>landbouw!I8</f>
        <v>0</v>
      </c>
      <c r="J7" s="477">
        <f>landbouw!J8</f>
        <v>233.18841248204507</v>
      </c>
      <c r="K7" s="477">
        <f>landbouw!K8</f>
        <v>0</v>
      </c>
      <c r="L7" s="477">
        <f>landbouw!L8</f>
        <v>0</v>
      </c>
      <c r="M7" s="477">
        <f>landbouw!M8</f>
        <v>0</v>
      </c>
      <c r="N7" s="477">
        <f>landbouw!N8</f>
        <v>0</v>
      </c>
      <c r="O7" s="477">
        <f>landbouw!O8</f>
        <v>0</v>
      </c>
      <c r="P7" s="478">
        <f>landbouw!P8</f>
        <v>0</v>
      </c>
      <c r="Q7" s="476">
        <f t="shared" si="0"/>
        <v>36483.102742999239</v>
      </c>
    </row>
    <row r="8" spans="1:17">
      <c r="A8" s="476" t="s">
        <v>635</v>
      </c>
      <c r="B8" s="477">
        <f>industrie!B18</f>
        <v>235288.709766555</v>
      </c>
      <c r="C8" s="477">
        <f>industrie!C18</f>
        <v>0</v>
      </c>
      <c r="D8" s="477">
        <f>industrie!D18</f>
        <v>407834.36746705294</v>
      </c>
      <c r="E8" s="477">
        <f>industrie!E18</f>
        <v>3736.2019974018058</v>
      </c>
      <c r="F8" s="477">
        <f>industrie!F18</f>
        <v>37788.747315803426</v>
      </c>
      <c r="G8" s="477">
        <f>industrie!G18</f>
        <v>0</v>
      </c>
      <c r="H8" s="477">
        <f>industrie!H18</f>
        <v>0</v>
      </c>
      <c r="I8" s="477">
        <f>industrie!I18</f>
        <v>0</v>
      </c>
      <c r="J8" s="477">
        <f>industrie!J18</f>
        <v>26580.785862600289</v>
      </c>
      <c r="K8" s="477">
        <f>industrie!K18</f>
        <v>0</v>
      </c>
      <c r="L8" s="477">
        <f>industrie!L18</f>
        <v>0</v>
      </c>
      <c r="M8" s="477">
        <f>industrie!M18</f>
        <v>0</v>
      </c>
      <c r="N8" s="477">
        <f>industrie!N18</f>
        <v>13824.966075404376</v>
      </c>
      <c r="O8" s="477">
        <f>industrie!O18</f>
        <v>0</v>
      </c>
      <c r="P8" s="478">
        <f>industrie!P18</f>
        <v>0</v>
      </c>
      <c r="Q8" s="476">
        <f t="shared" si="0"/>
        <v>725053.77848481783</v>
      </c>
    </row>
    <row r="9" spans="1:17" s="482" customFormat="1">
      <c r="A9" s="480" t="s">
        <v>561</v>
      </c>
      <c r="B9" s="481">
        <f>transport!B14</f>
        <v>26.7074853131212</v>
      </c>
      <c r="C9" s="481">
        <f>transport!C14</f>
        <v>0</v>
      </c>
      <c r="D9" s="481">
        <f>transport!D14</f>
        <v>88.756386093343934</v>
      </c>
      <c r="E9" s="481">
        <f>transport!E14</f>
        <v>119.25876015551789</v>
      </c>
      <c r="F9" s="481">
        <f>transport!F14</f>
        <v>0</v>
      </c>
      <c r="G9" s="481">
        <f>transport!G14</f>
        <v>43646.82664213307</v>
      </c>
      <c r="H9" s="481">
        <f>transport!H14</f>
        <v>10035.606130616381</v>
      </c>
      <c r="I9" s="481">
        <f>transport!I14</f>
        <v>0</v>
      </c>
      <c r="J9" s="481">
        <f>transport!J14</f>
        <v>0</v>
      </c>
      <c r="K9" s="481">
        <f>transport!K14</f>
        <v>0</v>
      </c>
      <c r="L9" s="481">
        <f>transport!L14</f>
        <v>0</v>
      </c>
      <c r="M9" s="481">
        <f>transport!M14</f>
        <v>2846.132014062136</v>
      </c>
      <c r="N9" s="481">
        <f>transport!N14</f>
        <v>0</v>
      </c>
      <c r="O9" s="481">
        <f>transport!O14</f>
        <v>0</v>
      </c>
      <c r="P9" s="481">
        <f>transport!P14</f>
        <v>0</v>
      </c>
      <c r="Q9" s="480">
        <f>SUM(B9:P9)</f>
        <v>56763.287418373577</v>
      </c>
    </row>
    <row r="10" spans="1:17">
      <c r="A10" s="476" t="s">
        <v>551</v>
      </c>
      <c r="B10" s="477">
        <f>transport!B54</f>
        <v>0</v>
      </c>
      <c r="C10" s="477">
        <f>transport!C54</f>
        <v>0</v>
      </c>
      <c r="D10" s="477">
        <f>transport!D54</f>
        <v>0</v>
      </c>
      <c r="E10" s="477">
        <f>transport!E54</f>
        <v>0</v>
      </c>
      <c r="F10" s="477">
        <f>transport!F54</f>
        <v>0</v>
      </c>
      <c r="G10" s="477">
        <f>transport!G54</f>
        <v>2522.4144308274213</v>
      </c>
      <c r="H10" s="477">
        <f>transport!H54</f>
        <v>0</v>
      </c>
      <c r="I10" s="477">
        <f>transport!I54</f>
        <v>0</v>
      </c>
      <c r="J10" s="477">
        <f>transport!J54</f>
        <v>0</v>
      </c>
      <c r="K10" s="477">
        <f>transport!K54</f>
        <v>0</v>
      </c>
      <c r="L10" s="477">
        <f>transport!L54</f>
        <v>0</v>
      </c>
      <c r="M10" s="477">
        <f>transport!M54</f>
        <v>143.26200427981914</v>
      </c>
      <c r="N10" s="477">
        <f>transport!N54</f>
        <v>0</v>
      </c>
      <c r="O10" s="477">
        <f>transport!O54</f>
        <v>0</v>
      </c>
      <c r="P10" s="478">
        <f>transport!P54</f>
        <v>0</v>
      </c>
      <c r="Q10" s="476">
        <f t="shared" si="0"/>
        <v>2665.6764351072402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890.05940067558402</v>
      </c>
      <c r="C14" s="484"/>
      <c r="D14" s="484">
        <f>'SEAP template'!E25</f>
        <v>2126.8186616256598</v>
      </c>
      <c r="E14" s="484"/>
      <c r="F14" s="484"/>
      <c r="G14" s="484"/>
      <c r="H14" s="484"/>
      <c r="I14" s="484"/>
      <c r="J14" s="484"/>
      <c r="K14" s="484"/>
      <c r="L14" s="484"/>
      <c r="M14" s="484"/>
      <c r="N14" s="484"/>
      <c r="O14" s="484"/>
      <c r="P14" s="485"/>
      <c r="Q14" s="476">
        <f t="shared" si="0"/>
        <v>3016.878062301244</v>
      </c>
    </row>
    <row r="15" spans="1:17" s="486" customFormat="1">
      <c r="A15" s="1039" t="s">
        <v>555</v>
      </c>
      <c r="B15" s="987">
        <f ca="1">SUM(B4:B14)</f>
        <v>284236.69138968957</v>
      </c>
      <c r="C15" s="987">
        <f t="shared" ref="C15:Q15" ca="1" si="1">SUM(C4:C14)</f>
        <v>28337.785714285714</v>
      </c>
      <c r="D15" s="987">
        <f t="shared" ca="1" si="1"/>
        <v>514172.66714717716</v>
      </c>
      <c r="E15" s="987">
        <f t="shared" si="1"/>
        <v>6577.1342212294958</v>
      </c>
      <c r="F15" s="987">
        <f t="shared" ca="1" si="1"/>
        <v>46954.790908604657</v>
      </c>
      <c r="G15" s="987">
        <f t="shared" si="1"/>
        <v>46169.241072960489</v>
      </c>
      <c r="H15" s="987">
        <f t="shared" si="1"/>
        <v>10035.606130616381</v>
      </c>
      <c r="I15" s="987">
        <f t="shared" si="1"/>
        <v>0</v>
      </c>
      <c r="J15" s="987">
        <f t="shared" si="1"/>
        <v>26814.005348037757</v>
      </c>
      <c r="K15" s="987">
        <f t="shared" si="1"/>
        <v>0</v>
      </c>
      <c r="L15" s="987">
        <f t="shared" ca="1" si="1"/>
        <v>0</v>
      </c>
      <c r="M15" s="987">
        <f t="shared" si="1"/>
        <v>2989.394018341955</v>
      </c>
      <c r="N15" s="987">
        <f t="shared" ca="1" si="1"/>
        <v>46552.132881225312</v>
      </c>
      <c r="O15" s="987">
        <f t="shared" si="1"/>
        <v>378.32666666666671</v>
      </c>
      <c r="P15" s="987">
        <f t="shared" si="1"/>
        <v>1334.6666666666665</v>
      </c>
      <c r="Q15" s="987">
        <f t="shared" ca="1" si="1"/>
        <v>1014552.4421655019</v>
      </c>
    </row>
    <row r="17" spans="1:17">
      <c r="A17" s="487" t="s">
        <v>556</v>
      </c>
      <c r="B17" s="786">
        <f ca="1">huishoudens!B10</f>
        <v>0.21489481800882268</v>
      </c>
      <c r="C17" s="786">
        <f ca="1">huishoudens!C10</f>
        <v>0.23607823565441696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6696.978367437674</v>
      </c>
      <c r="C22" s="477">
        <f t="shared" ref="C22:C32" ca="1" si="3">C4*$C$17</f>
        <v>0</v>
      </c>
      <c r="D22" s="477">
        <f t="shared" ref="D22:D32" si="4">D4*$D$17</f>
        <v>17241.308848407138</v>
      </c>
      <c r="E22" s="477">
        <f t="shared" ref="E22:E32" si="5">E4*$E$17</f>
        <v>551.9572838564095</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24490.244499701221</v>
      </c>
    </row>
    <row r="23" spans="1:17">
      <c r="A23" s="476" t="s">
        <v>156</v>
      </c>
      <c r="B23" s="477">
        <f t="shared" ca="1" si="2"/>
        <v>3093.2084281307361</v>
      </c>
      <c r="C23" s="477">
        <f t="shared" ca="1" si="3"/>
        <v>106.23520604448765</v>
      </c>
      <c r="D23" s="477">
        <f t="shared" ca="1" si="4"/>
        <v>3791.4815273387158</v>
      </c>
      <c r="E23" s="477">
        <f t="shared" si="5"/>
        <v>55.123352951162374</v>
      </c>
      <c r="F23" s="477">
        <f t="shared" ca="1" si="6"/>
        <v>657.0252594503271</v>
      </c>
      <c r="G23" s="477">
        <f t="shared" si="7"/>
        <v>0</v>
      </c>
      <c r="H23" s="477">
        <f t="shared" si="8"/>
        <v>0</v>
      </c>
      <c r="I23" s="477">
        <f t="shared" si="9"/>
        <v>0</v>
      </c>
      <c r="J23" s="477">
        <f t="shared" si="10"/>
        <v>1.0999826220398086E-2</v>
      </c>
      <c r="K23" s="477">
        <f t="shared" si="11"/>
        <v>0</v>
      </c>
      <c r="L23" s="477">
        <f t="shared" ca="1" si="12"/>
        <v>0</v>
      </c>
      <c r="M23" s="477">
        <f t="shared" si="13"/>
        <v>0</v>
      </c>
      <c r="N23" s="477">
        <f t="shared" ca="1" si="14"/>
        <v>0</v>
      </c>
      <c r="O23" s="477">
        <f t="shared" si="15"/>
        <v>0</v>
      </c>
      <c r="P23" s="478">
        <f t="shared" si="16"/>
        <v>0</v>
      </c>
      <c r="Q23" s="476">
        <f t="shared" ref="Q23:Q32" ca="1" si="17">SUM(B23:P23)</f>
        <v>7703.0847737416507</v>
      </c>
    </row>
    <row r="24" spans="1:17">
      <c r="A24" s="476" t="s">
        <v>194</v>
      </c>
      <c r="B24" s="477">
        <f t="shared" ca="1" si="2"/>
        <v>185.58961167695952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185.58961167695952</v>
      </c>
    </row>
    <row r="25" spans="1:17">
      <c r="A25" s="476" t="s">
        <v>112</v>
      </c>
      <c r="B25" s="477">
        <f t="shared" ca="1" si="2"/>
        <v>345.88274243627126</v>
      </c>
      <c r="C25" s="477">
        <f t="shared" ca="1" si="3"/>
        <v>6583.6992477370259</v>
      </c>
      <c r="D25" s="477">
        <f t="shared" si="4"/>
        <v>0</v>
      </c>
      <c r="E25" s="477">
        <f t="shared" si="5"/>
        <v>10.739239446011283</v>
      </c>
      <c r="F25" s="477">
        <f t="shared" si="6"/>
        <v>1790.3083798276025</v>
      </c>
      <c r="G25" s="477">
        <f t="shared" si="7"/>
        <v>0</v>
      </c>
      <c r="H25" s="477">
        <f t="shared" si="8"/>
        <v>0</v>
      </c>
      <c r="I25" s="477">
        <f t="shared" si="9"/>
        <v>0</v>
      </c>
      <c r="J25" s="477">
        <f t="shared" si="10"/>
        <v>82.548698018643947</v>
      </c>
      <c r="K25" s="477">
        <f t="shared" si="11"/>
        <v>0</v>
      </c>
      <c r="L25" s="477">
        <f t="shared" si="12"/>
        <v>0</v>
      </c>
      <c r="M25" s="477">
        <f t="shared" si="13"/>
        <v>0</v>
      </c>
      <c r="N25" s="477">
        <f t="shared" si="14"/>
        <v>0</v>
      </c>
      <c r="O25" s="477">
        <f t="shared" si="15"/>
        <v>0</v>
      </c>
      <c r="P25" s="478">
        <f t="shared" si="16"/>
        <v>0</v>
      </c>
      <c r="Q25" s="476">
        <f t="shared" ca="1" si="17"/>
        <v>8813.1783074655541</v>
      </c>
    </row>
    <row r="26" spans="1:17">
      <c r="A26" s="476" t="s">
        <v>635</v>
      </c>
      <c r="B26" s="477">
        <f t="shared" ca="1" si="2"/>
        <v>50562.324464814534</v>
      </c>
      <c r="C26" s="477">
        <f t="shared" ca="1" si="3"/>
        <v>0</v>
      </c>
      <c r="D26" s="477">
        <f t="shared" si="4"/>
        <v>82382.542228344697</v>
      </c>
      <c r="E26" s="477">
        <f t="shared" si="5"/>
        <v>848.11785341020993</v>
      </c>
      <c r="F26" s="477">
        <f t="shared" si="6"/>
        <v>10089.595533319516</v>
      </c>
      <c r="G26" s="477">
        <f t="shared" si="7"/>
        <v>0</v>
      </c>
      <c r="H26" s="477">
        <f t="shared" si="8"/>
        <v>0</v>
      </c>
      <c r="I26" s="477">
        <f t="shared" si="9"/>
        <v>0</v>
      </c>
      <c r="J26" s="477">
        <f t="shared" si="10"/>
        <v>9409.5981953605024</v>
      </c>
      <c r="K26" s="477">
        <f t="shared" si="11"/>
        <v>0</v>
      </c>
      <c r="L26" s="477">
        <f t="shared" si="12"/>
        <v>0</v>
      </c>
      <c r="M26" s="477">
        <f t="shared" si="13"/>
        <v>0</v>
      </c>
      <c r="N26" s="477">
        <f t="shared" si="14"/>
        <v>0</v>
      </c>
      <c r="O26" s="477">
        <f t="shared" si="15"/>
        <v>0</v>
      </c>
      <c r="P26" s="478">
        <f t="shared" si="16"/>
        <v>0</v>
      </c>
      <c r="Q26" s="476">
        <f t="shared" ca="1" si="17"/>
        <v>153292.17827524946</v>
      </c>
    </row>
    <row r="27" spans="1:17" s="482" customFormat="1">
      <c r="A27" s="480" t="s">
        <v>561</v>
      </c>
      <c r="B27" s="780">
        <f t="shared" ca="1" si="2"/>
        <v>5.7393001958364849</v>
      </c>
      <c r="C27" s="481">
        <f t="shared" ca="1" si="3"/>
        <v>0</v>
      </c>
      <c r="D27" s="481">
        <f t="shared" si="4"/>
        <v>17.928789990855474</v>
      </c>
      <c r="E27" s="481">
        <f t="shared" si="5"/>
        <v>27.071738555302563</v>
      </c>
      <c r="F27" s="481">
        <f t="shared" si="6"/>
        <v>0</v>
      </c>
      <c r="G27" s="481">
        <f t="shared" si="7"/>
        <v>11653.702713449531</v>
      </c>
      <c r="H27" s="481">
        <f t="shared" si="8"/>
        <v>2498.8659265234787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14203.308468715004</v>
      </c>
    </row>
    <row r="28" spans="1:17">
      <c r="A28" s="476" t="s">
        <v>551</v>
      </c>
      <c r="B28" s="477">
        <f t="shared" ca="1" si="2"/>
        <v>0</v>
      </c>
      <c r="C28" s="477">
        <f t="shared" ca="1" si="3"/>
        <v>0</v>
      </c>
      <c r="D28" s="477">
        <f t="shared" si="4"/>
        <v>0</v>
      </c>
      <c r="E28" s="477">
        <f t="shared" si="5"/>
        <v>0</v>
      </c>
      <c r="F28" s="477">
        <f t="shared" si="6"/>
        <v>0</v>
      </c>
      <c r="G28" s="477">
        <f t="shared" si="7"/>
        <v>673.48465303092155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673.48465303092155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191.26915292522142</v>
      </c>
      <c r="C32" s="477">
        <f t="shared" ca="1" si="3"/>
        <v>0</v>
      </c>
      <c r="D32" s="477">
        <f t="shared" si="4"/>
        <v>429.61736964838332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620.88652257360468</v>
      </c>
    </row>
    <row r="33" spans="1:17" s="486" customFormat="1">
      <c r="A33" s="1039" t="s">
        <v>555</v>
      </c>
      <c r="B33" s="987">
        <f ca="1">SUM(B22:B32)</f>
        <v>61080.992067617226</v>
      </c>
      <c r="C33" s="987">
        <f t="shared" ref="C33:Q33" ca="1" si="18">SUM(C22:C32)</f>
        <v>6689.9344537815132</v>
      </c>
      <c r="D33" s="987">
        <f t="shared" ca="1" si="18"/>
        <v>103862.87876372979</v>
      </c>
      <c r="E33" s="987">
        <f t="shared" si="18"/>
        <v>1493.0094682190957</v>
      </c>
      <c r="F33" s="987">
        <f t="shared" ca="1" si="18"/>
        <v>12536.929172597445</v>
      </c>
      <c r="G33" s="987">
        <f t="shared" si="18"/>
        <v>12327.187366480453</v>
      </c>
      <c r="H33" s="987">
        <f t="shared" si="18"/>
        <v>2498.8659265234787</v>
      </c>
      <c r="I33" s="987">
        <f t="shared" si="18"/>
        <v>0</v>
      </c>
      <c r="J33" s="987">
        <f t="shared" si="18"/>
        <v>9492.1578932053671</v>
      </c>
      <c r="K33" s="987">
        <f t="shared" si="18"/>
        <v>0</v>
      </c>
      <c r="L33" s="987">
        <f t="shared" ca="1" si="18"/>
        <v>0</v>
      </c>
      <c r="M33" s="987">
        <f t="shared" si="18"/>
        <v>0</v>
      </c>
      <c r="N33" s="987">
        <f t="shared" ca="1" si="18"/>
        <v>0</v>
      </c>
      <c r="O33" s="987">
        <f t="shared" si="18"/>
        <v>0</v>
      </c>
      <c r="P33" s="987">
        <f t="shared" si="18"/>
        <v>0</v>
      </c>
      <c r="Q33" s="987">
        <f t="shared" ca="1" si="18"/>
        <v>209981.95511215436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9205.499534620918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130.94999999999999</v>
      </c>
      <c r="C8" s="1056">
        <f>'SEAP template'!C76</f>
        <v>19705.5</v>
      </c>
      <c r="D8" s="1056">
        <f>'SEAP template'!D76</f>
        <v>23182.941176470591</v>
      </c>
      <c r="E8" s="1056">
        <f>'SEAP template'!E76</f>
        <v>0</v>
      </c>
      <c r="F8" s="1056">
        <f>'SEAP template'!F76</f>
        <v>0</v>
      </c>
      <c r="G8" s="1056">
        <f>'SEAP template'!G76</f>
        <v>0</v>
      </c>
      <c r="H8" s="1056">
        <f>'SEAP template'!H76</f>
        <v>0</v>
      </c>
      <c r="I8" s="1056">
        <f>'SEAP template'!I76</f>
        <v>0</v>
      </c>
      <c r="J8" s="1056">
        <f>'SEAP template'!J76</f>
        <v>154.05882352941177</v>
      </c>
      <c r="K8" s="1056">
        <f>'SEAP template'!K76</f>
        <v>0</v>
      </c>
      <c r="L8" s="1056">
        <f>'SEAP template'!L76</f>
        <v>0</v>
      </c>
      <c r="M8" s="1056">
        <f>'SEAP template'!M76</f>
        <v>0</v>
      </c>
      <c r="N8" s="1056">
        <f>'SEAP template'!N76</f>
        <v>0</v>
      </c>
      <c r="O8" s="1056">
        <f>'SEAP template'!O76</f>
        <v>0</v>
      </c>
      <c r="P8" s="1057">
        <f>'SEAP template'!Q76</f>
        <v>4682.9541176470593</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9336.4495346209187</v>
      </c>
      <c r="C10" s="1060">
        <f>SUM(C4:C9)</f>
        <v>19705.5</v>
      </c>
      <c r="D10" s="1060">
        <f t="shared" ref="D10:H10" si="0">SUM(D8:D9)</f>
        <v>23182.941176470591</v>
      </c>
      <c r="E10" s="1060">
        <f t="shared" si="0"/>
        <v>0</v>
      </c>
      <c r="F10" s="1060">
        <f t="shared" si="0"/>
        <v>0</v>
      </c>
      <c r="G10" s="1060">
        <f t="shared" si="0"/>
        <v>0</v>
      </c>
      <c r="H10" s="1060">
        <f t="shared" si="0"/>
        <v>0</v>
      </c>
      <c r="I10" s="1060">
        <f>SUM(I8:I9)</f>
        <v>0</v>
      </c>
      <c r="J10" s="1060">
        <f>SUM(J8:J9)</f>
        <v>154.05882352941177</v>
      </c>
      <c r="K10" s="1060">
        <f t="shared" ref="K10:L10" si="1">SUM(K8:K9)</f>
        <v>0</v>
      </c>
      <c r="L10" s="1060">
        <f t="shared" si="1"/>
        <v>0</v>
      </c>
      <c r="M10" s="1060">
        <f>SUM(M8:M9)</f>
        <v>0</v>
      </c>
      <c r="N10" s="1060">
        <f>SUM(N8:N9)</f>
        <v>0</v>
      </c>
      <c r="O10" s="1060">
        <f>SUM(O8:O9)</f>
        <v>0</v>
      </c>
      <c r="P10" s="1060">
        <f>SUM(P8:P9)</f>
        <v>4682.9541176470593</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0.21489481800882268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187.07142857142856</v>
      </c>
      <c r="C17" s="1062">
        <f>'SEAP template'!C87</f>
        <v>28150.71428571429</v>
      </c>
      <c r="D17" s="1057">
        <f>'SEAP template'!D87</f>
        <v>33118.487394957985</v>
      </c>
      <c r="E17" s="1057">
        <f>'SEAP template'!E87</f>
        <v>0</v>
      </c>
      <c r="F17" s="1057">
        <f>'SEAP template'!F87</f>
        <v>0</v>
      </c>
      <c r="G17" s="1057">
        <f>'SEAP template'!G87</f>
        <v>0</v>
      </c>
      <c r="H17" s="1057">
        <f>'SEAP template'!H87</f>
        <v>0</v>
      </c>
      <c r="I17" s="1057">
        <f>'SEAP template'!I87</f>
        <v>0</v>
      </c>
      <c r="J17" s="1057">
        <f>'SEAP template'!J87</f>
        <v>220.08403361344537</v>
      </c>
      <c r="K17" s="1057">
        <f>'SEAP template'!K87</f>
        <v>0</v>
      </c>
      <c r="L17" s="1057">
        <f>'SEAP template'!L87</f>
        <v>0</v>
      </c>
      <c r="M17" s="1057">
        <f>'SEAP template'!M87</f>
        <v>0</v>
      </c>
      <c r="N17" s="1057">
        <f>'SEAP template'!N87</f>
        <v>0</v>
      </c>
      <c r="O17" s="1057">
        <f>'SEAP template'!O87</f>
        <v>0</v>
      </c>
      <c r="P17" s="1057">
        <f>'SEAP template'!Q87</f>
        <v>6689.9344537815132</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187.07142857142856</v>
      </c>
      <c r="C20" s="1060">
        <f>SUM(C17:C19)</f>
        <v>28150.71428571429</v>
      </c>
      <c r="D20" s="1060">
        <f t="shared" ref="D20:H20" si="2">SUM(D17:D19)</f>
        <v>33118.487394957985</v>
      </c>
      <c r="E20" s="1060">
        <f t="shared" si="2"/>
        <v>0</v>
      </c>
      <c r="F20" s="1060">
        <f t="shared" si="2"/>
        <v>0</v>
      </c>
      <c r="G20" s="1060">
        <f t="shared" si="2"/>
        <v>0</v>
      </c>
      <c r="H20" s="1060">
        <f t="shared" si="2"/>
        <v>0</v>
      </c>
      <c r="I20" s="1060">
        <f>SUM(I17:I19)</f>
        <v>0</v>
      </c>
      <c r="J20" s="1060">
        <f>SUM(J17:J19)</f>
        <v>220.08403361344537</v>
      </c>
      <c r="K20" s="1060">
        <f t="shared" ref="K20:L20" si="3">SUM(K17:K19)</f>
        <v>0</v>
      </c>
      <c r="L20" s="1060">
        <f t="shared" si="3"/>
        <v>0</v>
      </c>
      <c r="M20" s="1060">
        <f>SUM(M17:M19)</f>
        <v>0</v>
      </c>
      <c r="N20" s="1060">
        <f>SUM(N17:N19)</f>
        <v>0</v>
      </c>
      <c r="O20" s="1060">
        <f>SUM(O17:O19)</f>
        <v>0</v>
      </c>
      <c r="P20" s="1060">
        <f>SUM(P17:P19)</f>
        <v>6689.9344537815132</v>
      </c>
    </row>
    <row r="22" spans="1:16">
      <c r="A22" s="487" t="s">
        <v>862</v>
      </c>
      <c r="B22" s="786" t="s">
        <v>856</v>
      </c>
      <c r="C22" s="786">
        <f ca="1">'EF ele_warmte'!B22</f>
        <v>0.23607823565441696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0.21489481800882268</v>
      </c>
      <c r="C17" s="524">
        <f ca="1">'EF ele_warmte'!B22</f>
        <v>0.23607823565441696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0.21489481800882268</v>
      </c>
      <c r="C17" s="524">
        <f ca="1">'EF ele_warmte'!B22</f>
        <v>0.23607823565441696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0.21489481800882268</v>
      </c>
      <c r="C29" s="525">
        <f ca="1">'EF ele_warmte'!B22</f>
        <v>0.23607823565441696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7079</v>
      </c>
      <c r="C9" s="342">
        <v>7178</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1456.87</v>
      </c>
    </row>
    <row r="15" spans="1:6">
      <c r="A15" s="348" t="s">
        <v>184</v>
      </c>
      <c r="B15" s="334">
        <v>3073</v>
      </c>
    </row>
    <row r="16" spans="1:6">
      <c r="A16" s="348" t="s">
        <v>6</v>
      </c>
      <c r="B16" s="334">
        <v>889</v>
      </c>
    </row>
    <row r="17" spans="1:6">
      <c r="A17" s="348" t="s">
        <v>7</v>
      </c>
      <c r="B17" s="334">
        <v>348</v>
      </c>
    </row>
    <row r="18" spans="1:6">
      <c r="A18" s="348" t="s">
        <v>8</v>
      </c>
      <c r="B18" s="334">
        <v>543</v>
      </c>
    </row>
    <row r="19" spans="1:6">
      <c r="A19" s="348" t="s">
        <v>9</v>
      </c>
      <c r="B19" s="334">
        <v>450</v>
      </c>
    </row>
    <row r="20" spans="1:6">
      <c r="A20" s="348" t="s">
        <v>10</v>
      </c>
      <c r="B20" s="334">
        <v>473</v>
      </c>
    </row>
    <row r="21" spans="1:6">
      <c r="A21" s="348" t="s">
        <v>11</v>
      </c>
      <c r="B21" s="334">
        <v>0</v>
      </c>
    </row>
    <row r="22" spans="1:6">
      <c r="A22" s="348" t="s">
        <v>12</v>
      </c>
      <c r="B22" s="334">
        <v>2015</v>
      </c>
    </row>
    <row r="23" spans="1:6">
      <c r="A23" s="348" t="s">
        <v>13</v>
      </c>
      <c r="B23" s="334">
        <v>0</v>
      </c>
    </row>
    <row r="24" spans="1:6">
      <c r="A24" s="348" t="s">
        <v>14</v>
      </c>
      <c r="B24" s="334">
        <v>0</v>
      </c>
    </row>
    <row r="25" spans="1:6">
      <c r="A25" s="348" t="s">
        <v>15</v>
      </c>
      <c r="B25" s="334">
        <v>0</v>
      </c>
    </row>
    <row r="26" spans="1:6">
      <c r="A26" s="348" t="s">
        <v>16</v>
      </c>
      <c r="B26" s="334">
        <v>20</v>
      </c>
    </row>
    <row r="27" spans="1:6">
      <c r="A27" s="348" t="s">
        <v>17</v>
      </c>
      <c r="B27" s="334">
        <v>21</v>
      </c>
    </row>
    <row r="28" spans="1:6" s="356" customFormat="1">
      <c r="A28" s="355" t="s">
        <v>18</v>
      </c>
      <c r="B28" s="355">
        <v>179269</v>
      </c>
    </row>
    <row r="29" spans="1:6">
      <c r="A29" s="355" t="s">
        <v>744</v>
      </c>
      <c r="B29" s="355">
        <v>112</v>
      </c>
      <c r="C29" s="356"/>
      <c r="D29" s="356"/>
      <c r="E29" s="356"/>
      <c r="F29" s="356"/>
    </row>
    <row r="30" spans="1:6">
      <c r="A30" s="341" t="s">
        <v>745</v>
      </c>
      <c r="B30" s="341">
        <v>26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208640.505162702</v>
      </c>
    </row>
    <row r="39" spans="1:6">
      <c r="A39" s="348" t="s">
        <v>30</v>
      </c>
      <c r="B39" s="348" t="s">
        <v>31</v>
      </c>
      <c r="C39" s="334">
        <v>5322</v>
      </c>
      <c r="D39" s="334">
        <v>94593681.125218004</v>
      </c>
      <c r="E39" s="334">
        <v>6909</v>
      </c>
      <c r="F39" s="334">
        <v>26239980.830944501</v>
      </c>
    </row>
    <row r="40" spans="1:6">
      <c r="A40" s="348" t="s">
        <v>30</v>
      </c>
      <c r="B40" s="348" t="s">
        <v>29</v>
      </c>
      <c r="C40" s="334">
        <v>1</v>
      </c>
      <c r="D40" s="334">
        <v>32720.317160521401</v>
      </c>
      <c r="E40" s="334">
        <v>1</v>
      </c>
      <c r="F40" s="334">
        <v>8110.1693398500001</v>
      </c>
    </row>
    <row r="41" spans="1:6">
      <c r="A41" s="348" t="s">
        <v>32</v>
      </c>
      <c r="B41" s="348" t="s">
        <v>33</v>
      </c>
      <c r="C41" s="334">
        <v>86</v>
      </c>
      <c r="D41" s="334">
        <v>1819005.1879346699</v>
      </c>
      <c r="E41" s="334">
        <v>170</v>
      </c>
      <c r="F41" s="334">
        <v>2203877.5883110901</v>
      </c>
    </row>
    <row r="42" spans="1:6">
      <c r="A42" s="348" t="s">
        <v>32</v>
      </c>
      <c r="B42" s="348" t="s">
        <v>34</v>
      </c>
      <c r="C42" s="334">
        <v>5</v>
      </c>
      <c r="D42" s="334">
        <v>146945916.995597</v>
      </c>
      <c r="E42" s="334">
        <v>3</v>
      </c>
      <c r="F42" s="334">
        <v>80002863.826557204</v>
      </c>
    </row>
    <row r="43" spans="1:6">
      <c r="A43" s="348" t="s">
        <v>32</v>
      </c>
      <c r="B43" s="348" t="s">
        <v>35</v>
      </c>
      <c r="C43" s="334">
        <v>0</v>
      </c>
      <c r="D43" s="334">
        <v>0</v>
      </c>
      <c r="E43" s="334">
        <v>0</v>
      </c>
      <c r="F43" s="334">
        <v>0</v>
      </c>
    </row>
    <row r="44" spans="1:6">
      <c r="A44" s="348" t="s">
        <v>32</v>
      </c>
      <c r="B44" s="348" t="s">
        <v>36</v>
      </c>
      <c r="C44" s="334">
        <v>7</v>
      </c>
      <c r="D44" s="334">
        <v>290494.53852675302</v>
      </c>
      <c r="E44" s="334">
        <v>18</v>
      </c>
      <c r="F44" s="334">
        <v>1121749.7801441001</v>
      </c>
    </row>
    <row r="45" spans="1:6">
      <c r="A45" s="348" t="s">
        <v>32</v>
      </c>
      <c r="B45" s="348" t="s">
        <v>37</v>
      </c>
      <c r="C45" s="334">
        <v>3</v>
      </c>
      <c r="D45" s="334">
        <v>242504894.66244301</v>
      </c>
      <c r="E45" s="334">
        <v>8</v>
      </c>
      <c r="F45" s="334">
        <v>22695558.409519501</v>
      </c>
    </row>
    <row r="46" spans="1:6">
      <c r="A46" s="348" t="s">
        <v>32</v>
      </c>
      <c r="B46" s="348" t="s">
        <v>38</v>
      </c>
      <c r="C46" s="334">
        <v>0</v>
      </c>
      <c r="D46" s="334">
        <v>0</v>
      </c>
      <c r="E46" s="334">
        <v>6</v>
      </c>
      <c r="F46" s="334">
        <v>92404852.740438193</v>
      </c>
    </row>
    <row r="47" spans="1:6">
      <c r="A47" s="348" t="s">
        <v>32</v>
      </c>
      <c r="B47" s="348" t="s">
        <v>39</v>
      </c>
      <c r="C47" s="334">
        <v>0</v>
      </c>
      <c r="D47" s="334">
        <v>0</v>
      </c>
      <c r="E47" s="334">
        <v>0</v>
      </c>
      <c r="F47" s="334">
        <v>0</v>
      </c>
    </row>
    <row r="48" spans="1:6">
      <c r="A48" s="348" t="s">
        <v>32</v>
      </c>
      <c r="B48" s="348" t="s">
        <v>29</v>
      </c>
      <c r="C48" s="334">
        <v>32</v>
      </c>
      <c r="D48" s="334">
        <v>60142001.697443403</v>
      </c>
      <c r="E48" s="334">
        <v>47</v>
      </c>
      <c r="F48" s="334">
        <v>24351851.929626901</v>
      </c>
    </row>
    <row r="49" spans="1:6">
      <c r="A49" s="348" t="s">
        <v>32</v>
      </c>
      <c r="B49" s="348" t="s">
        <v>40</v>
      </c>
      <c r="C49" s="334">
        <v>0</v>
      </c>
      <c r="D49" s="334">
        <v>0</v>
      </c>
      <c r="E49" s="334">
        <v>0</v>
      </c>
      <c r="F49" s="334">
        <v>0</v>
      </c>
    </row>
    <row r="50" spans="1:6">
      <c r="A50" s="348" t="s">
        <v>32</v>
      </c>
      <c r="B50" s="348" t="s">
        <v>41</v>
      </c>
      <c r="C50" s="334">
        <v>5</v>
      </c>
      <c r="D50" s="334">
        <v>442218.47798083402</v>
      </c>
      <c r="E50" s="334">
        <v>16</v>
      </c>
      <c r="F50" s="334">
        <v>12507955.491958</v>
      </c>
    </row>
    <row r="51" spans="1:6">
      <c r="A51" s="348" t="s">
        <v>42</v>
      </c>
      <c r="B51" s="348" t="s">
        <v>43</v>
      </c>
      <c r="C51" s="334">
        <v>0</v>
      </c>
      <c r="D51" s="334">
        <v>0</v>
      </c>
      <c r="E51" s="334">
        <v>55</v>
      </c>
      <c r="F51" s="334">
        <v>1434219.31370693</v>
      </c>
    </row>
    <row r="52" spans="1:6">
      <c r="A52" s="348" t="s">
        <v>42</v>
      </c>
      <c r="B52" s="348" t="s">
        <v>29</v>
      </c>
      <c r="C52" s="334">
        <v>14</v>
      </c>
      <c r="D52" s="334">
        <v>57397913.7878564</v>
      </c>
      <c r="E52" s="334">
        <v>10</v>
      </c>
      <c r="F52" s="334">
        <v>175325.04683726301</v>
      </c>
    </row>
    <row r="53" spans="1:6">
      <c r="A53" s="348" t="s">
        <v>44</v>
      </c>
      <c r="B53" s="348" t="s">
        <v>45</v>
      </c>
      <c r="C53" s="334">
        <v>84</v>
      </c>
      <c r="D53" s="334">
        <v>2126818.66162566</v>
      </c>
      <c r="E53" s="334">
        <v>199</v>
      </c>
      <c r="F53" s="334">
        <v>890059.40067558398</v>
      </c>
    </row>
    <row r="54" spans="1:6">
      <c r="A54" s="348" t="s">
        <v>46</v>
      </c>
      <c r="B54" s="348" t="s">
        <v>47</v>
      </c>
      <c r="C54" s="334">
        <v>0</v>
      </c>
      <c r="D54" s="334">
        <v>0</v>
      </c>
      <c r="E54" s="334">
        <v>1</v>
      </c>
      <c r="F54" s="334">
        <v>863630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35</v>
      </c>
      <c r="D57" s="334">
        <v>3068966.52530372</v>
      </c>
      <c r="E57" s="334">
        <v>51</v>
      </c>
      <c r="F57" s="334">
        <v>1018254.09886313</v>
      </c>
    </row>
    <row r="58" spans="1:6">
      <c r="A58" s="348" t="s">
        <v>49</v>
      </c>
      <c r="B58" s="348" t="s">
        <v>51</v>
      </c>
      <c r="C58" s="334">
        <v>19</v>
      </c>
      <c r="D58" s="334">
        <v>2098330.9640567</v>
      </c>
      <c r="E58" s="334">
        <v>25</v>
      </c>
      <c r="F58" s="334">
        <v>371625.06457707298</v>
      </c>
    </row>
    <row r="59" spans="1:6">
      <c r="A59" s="348" t="s">
        <v>49</v>
      </c>
      <c r="B59" s="348" t="s">
        <v>52</v>
      </c>
      <c r="C59" s="334">
        <v>83</v>
      </c>
      <c r="D59" s="334">
        <v>2749523.0592456101</v>
      </c>
      <c r="E59" s="334">
        <v>166</v>
      </c>
      <c r="F59" s="334">
        <v>4610570.3794474397</v>
      </c>
    </row>
    <row r="60" spans="1:6">
      <c r="A60" s="348" t="s">
        <v>49</v>
      </c>
      <c r="B60" s="348" t="s">
        <v>53</v>
      </c>
      <c r="C60" s="334">
        <v>85</v>
      </c>
      <c r="D60" s="334">
        <v>6355420.3003034396</v>
      </c>
      <c r="E60" s="334">
        <v>145</v>
      </c>
      <c r="F60" s="334">
        <v>1980076.08625523</v>
      </c>
    </row>
    <row r="61" spans="1:6">
      <c r="A61" s="348" t="s">
        <v>49</v>
      </c>
      <c r="B61" s="348" t="s">
        <v>54</v>
      </c>
      <c r="C61" s="334">
        <v>101</v>
      </c>
      <c r="D61" s="334">
        <v>3752408.5539450999</v>
      </c>
      <c r="E61" s="334">
        <v>221</v>
      </c>
      <c r="F61" s="334">
        <v>2393986.6698377598</v>
      </c>
    </row>
    <row r="62" spans="1:6">
      <c r="A62" s="348" t="s">
        <v>49</v>
      </c>
      <c r="B62" s="348" t="s">
        <v>55</v>
      </c>
      <c r="C62" s="334">
        <v>3</v>
      </c>
      <c r="D62" s="334">
        <v>770977.97404351796</v>
      </c>
      <c r="E62" s="334">
        <v>0</v>
      </c>
      <c r="F62" s="334">
        <v>0</v>
      </c>
    </row>
    <row r="63" spans="1:6">
      <c r="A63" s="348" t="s">
        <v>49</v>
      </c>
      <c r="B63" s="348" t="s">
        <v>29</v>
      </c>
      <c r="C63" s="334">
        <v>93</v>
      </c>
      <c r="D63" s="334">
        <v>3011147.04813493</v>
      </c>
      <c r="E63" s="334">
        <v>106</v>
      </c>
      <c r="F63" s="334">
        <v>3704545.4860876999</v>
      </c>
    </row>
    <row r="64" spans="1:6">
      <c r="A64" s="348" t="s">
        <v>56</v>
      </c>
      <c r="B64" s="348" t="s">
        <v>57</v>
      </c>
      <c r="C64" s="334">
        <v>0</v>
      </c>
      <c r="D64" s="334">
        <v>0</v>
      </c>
      <c r="E64" s="334">
        <v>0</v>
      </c>
      <c r="F64" s="334">
        <v>0</v>
      </c>
    </row>
    <row r="65" spans="1:6">
      <c r="A65" s="348" t="s">
        <v>56</v>
      </c>
      <c r="B65" s="348" t="s">
        <v>29</v>
      </c>
      <c r="C65" s="334">
        <v>0</v>
      </c>
      <c r="D65" s="334">
        <v>0</v>
      </c>
      <c r="E65" s="334">
        <v>1</v>
      </c>
      <c r="F65" s="334">
        <v>5592</v>
      </c>
    </row>
    <row r="66" spans="1:6">
      <c r="A66" s="348" t="s">
        <v>56</v>
      </c>
      <c r="B66" s="348" t="s">
        <v>58</v>
      </c>
      <c r="C66" s="334">
        <v>0</v>
      </c>
      <c r="D66" s="334">
        <v>0</v>
      </c>
      <c r="E66" s="334">
        <v>9</v>
      </c>
      <c r="F66" s="334">
        <v>307226.65113555302</v>
      </c>
    </row>
    <row r="67" spans="1:6">
      <c r="A67" s="355" t="s">
        <v>56</v>
      </c>
      <c r="B67" s="355" t="s">
        <v>59</v>
      </c>
      <c r="C67" s="334">
        <v>0</v>
      </c>
      <c r="D67" s="334">
        <v>0</v>
      </c>
      <c r="E67" s="334">
        <v>0</v>
      </c>
      <c r="F67" s="334">
        <v>0</v>
      </c>
    </row>
    <row r="68" spans="1:6">
      <c r="A68" s="341" t="s">
        <v>56</v>
      </c>
      <c r="B68" s="341" t="s">
        <v>60</v>
      </c>
      <c r="C68" s="334">
        <v>6</v>
      </c>
      <c r="D68" s="334">
        <v>118374.39279493599</v>
      </c>
      <c r="E68" s="334">
        <v>11</v>
      </c>
      <c r="F68" s="334">
        <v>50452.390407233601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58466877</v>
      </c>
      <c r="E73" s="475">
        <v>59147916.398571007</v>
      </c>
    </row>
    <row r="74" spans="1:6">
      <c r="A74" s="348" t="s">
        <v>64</v>
      </c>
      <c r="B74" s="348" t="s">
        <v>657</v>
      </c>
      <c r="C74" s="1295" t="s">
        <v>659</v>
      </c>
      <c r="D74" s="475">
        <v>4900777</v>
      </c>
      <c r="E74" s="475">
        <v>4967340.6231166851</v>
      </c>
    </row>
    <row r="75" spans="1:6">
      <c r="A75" s="348" t="s">
        <v>65</v>
      </c>
      <c r="B75" s="348" t="s">
        <v>656</v>
      </c>
      <c r="C75" s="1295" t="s">
        <v>660</v>
      </c>
      <c r="D75" s="475">
        <v>9421431</v>
      </c>
      <c r="E75" s="475">
        <v>9586454.2257981431</v>
      </c>
    </row>
    <row r="76" spans="1:6">
      <c r="A76" s="348" t="s">
        <v>65</v>
      </c>
      <c r="B76" s="348" t="s">
        <v>657</v>
      </c>
      <c r="C76" s="1295" t="s">
        <v>661</v>
      </c>
      <c r="D76" s="475">
        <v>142890</v>
      </c>
      <c r="E76" s="475">
        <v>138674.61174463044</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722976</v>
      </c>
      <c r="C83" s="475">
        <v>726157.90266095451</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4915.891591248982</v>
      </c>
    </row>
    <row r="92" spans="1:6">
      <c r="A92" s="341" t="s">
        <v>69</v>
      </c>
      <c r="B92" s="342">
        <v>4289.607943371936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3245</v>
      </c>
    </row>
    <row r="98" spans="1:6">
      <c r="A98" s="348" t="s">
        <v>72</v>
      </c>
      <c r="B98" s="334">
        <v>5</v>
      </c>
    </row>
    <row r="99" spans="1:6">
      <c r="A99" s="348" t="s">
        <v>73</v>
      </c>
      <c r="B99" s="334">
        <v>40</v>
      </c>
    </row>
    <row r="100" spans="1:6">
      <c r="A100" s="348" t="s">
        <v>74</v>
      </c>
      <c r="B100" s="334">
        <v>397</v>
      </c>
    </row>
    <row r="101" spans="1:6">
      <c r="A101" s="348" t="s">
        <v>75</v>
      </c>
      <c r="B101" s="334">
        <v>152</v>
      </c>
    </row>
    <row r="102" spans="1:6">
      <c r="A102" s="348" t="s">
        <v>76</v>
      </c>
      <c r="B102" s="334">
        <v>60</v>
      </c>
    </row>
    <row r="103" spans="1:6">
      <c r="A103" s="348" t="s">
        <v>77</v>
      </c>
      <c r="B103" s="334">
        <v>156</v>
      </c>
    </row>
    <row r="104" spans="1:6">
      <c r="A104" s="348" t="s">
        <v>78</v>
      </c>
      <c r="B104" s="334">
        <v>1690</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34</v>
      </c>
      <c r="C123" s="334">
        <v>50</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188</v>
      </c>
    </row>
    <row r="130" spans="1:6">
      <c r="A130" s="348" t="s">
        <v>295</v>
      </c>
      <c r="B130" s="334">
        <v>3</v>
      </c>
    </row>
    <row r="131" spans="1:6">
      <c r="A131" s="348" t="s">
        <v>296</v>
      </c>
      <c r="B131" s="334">
        <v>4</v>
      </c>
    </row>
    <row r="132" spans="1:6">
      <c r="A132" s="341" t="s">
        <v>297</v>
      </c>
      <c r="B132" s="342">
        <v>30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284236.69138968957</v>
      </c>
      <c r="C3" s="43" t="s">
        <v>170</v>
      </c>
      <c r="D3" s="43"/>
      <c r="E3" s="154"/>
      <c r="F3" s="43"/>
      <c r="G3" s="43"/>
      <c r="H3" s="43"/>
      <c r="I3" s="43"/>
      <c r="J3" s="43"/>
      <c r="K3" s="96"/>
    </row>
    <row r="4" spans="1:11">
      <c r="A4" s="383" t="s">
        <v>171</v>
      </c>
      <c r="B4" s="49">
        <f>IF(ISERROR('SEAP template'!B78+'SEAP template'!C78),0,'SEAP template'!B78+'SEAP template'!C78)</f>
        <v>29041.949534620919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4682.9541176470593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0.21489481800882268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6689.9344537815132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28337.785714285714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0.23607823565441696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863.63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863.63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0.21489481800882268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185.58961167695952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26248.091000284352</v>
      </c>
      <c r="C5" s="17">
        <f>IF(ISERROR('Eigen informatie GS &amp; warmtenet'!B57),0,'Eigen informatie GS &amp; warmtenet'!B57)</f>
        <v>0</v>
      </c>
      <c r="D5" s="30">
        <f>(SUM(HH_hh_gas_kWh,HH_rest_gas_kWh)/1000)*0.902</f>
        <v>85353.01410102543</v>
      </c>
      <c r="E5" s="17">
        <f>B46*B57</f>
        <v>2431.5298848299976</v>
      </c>
      <c r="F5" s="17">
        <f>B51*B62</f>
        <v>0</v>
      </c>
      <c r="G5" s="18"/>
      <c r="H5" s="17"/>
      <c r="I5" s="17"/>
      <c r="J5" s="17">
        <f>B50*B61+C50*C61</f>
        <v>0</v>
      </c>
      <c r="K5" s="17"/>
      <c r="L5" s="17"/>
      <c r="M5" s="17"/>
      <c r="N5" s="17">
        <f>B48*B59+C48*C59</f>
        <v>31488.783022273783</v>
      </c>
      <c r="O5" s="17">
        <f>B69*B70*B71</f>
        <v>373.63666666666671</v>
      </c>
      <c r="P5" s="17">
        <f>B77*B78*B79/1000-B77*B78*B79/1000/B80</f>
        <v>1239.3333333333333</v>
      </c>
    </row>
    <row r="6" spans="1:16">
      <c r="A6" s="16" t="s">
        <v>621</v>
      </c>
      <c r="B6" s="788">
        <f>kWh_PV_kleiner_dan_10kW</f>
        <v>4915.891591248982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31163.982591533335</v>
      </c>
      <c r="C8" s="21">
        <f>C5</f>
        <v>0</v>
      </c>
      <c r="D8" s="21">
        <f>D5</f>
        <v>85353.01410102543</v>
      </c>
      <c r="E8" s="21">
        <f>E5</f>
        <v>2431.5298848299976</v>
      </c>
      <c r="F8" s="21">
        <f>F5</f>
        <v>0</v>
      </c>
      <c r="G8" s="21"/>
      <c r="H8" s="21"/>
      <c r="I8" s="21"/>
      <c r="J8" s="21">
        <f>J5</f>
        <v>0</v>
      </c>
      <c r="K8" s="21"/>
      <c r="L8" s="21">
        <f>L5</f>
        <v>0</v>
      </c>
      <c r="M8" s="21">
        <f>M5</f>
        <v>0</v>
      </c>
      <c r="N8" s="21">
        <f>N5</f>
        <v>31488.783022273783</v>
      </c>
      <c r="O8" s="21">
        <f>O5</f>
        <v>373.63666666666671</v>
      </c>
      <c r="P8" s="21">
        <f>P5</f>
        <v>1239.3333333333333</v>
      </c>
    </row>
    <row r="9" spans="1:16">
      <c r="B9" s="19"/>
      <c r="C9" s="19"/>
      <c r="D9" s="258"/>
      <c r="E9" s="19"/>
      <c r="F9" s="19"/>
      <c r="G9" s="19"/>
      <c r="H9" s="19"/>
      <c r="I9" s="19"/>
      <c r="J9" s="19"/>
      <c r="K9" s="19"/>
      <c r="L9" s="19"/>
      <c r="M9" s="19"/>
      <c r="N9" s="19"/>
      <c r="O9" s="19"/>
      <c r="P9" s="19"/>
    </row>
    <row r="10" spans="1:16">
      <c r="A10" s="24" t="s">
        <v>214</v>
      </c>
      <c r="B10" s="25">
        <f ca="1">'EF ele_warmte'!B12</f>
        <v>0.21489481800882268</v>
      </c>
      <c r="C10" s="25">
        <f ca="1">'EF ele_warmte'!B22</f>
        <v>0.23607823565441696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6696.978367437674</v>
      </c>
      <c r="C12" s="23">
        <f ca="1">C10*C8</f>
        <v>0</v>
      </c>
      <c r="D12" s="23">
        <f>D8*D10</f>
        <v>17241.308848407138</v>
      </c>
      <c r="E12" s="23">
        <f>E10*E8</f>
        <v>551.9572838564095</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3245</v>
      </c>
      <c r="C18" s="166" t="s">
        <v>111</v>
      </c>
      <c r="D18" s="228"/>
      <c r="E18" s="15"/>
    </row>
    <row r="19" spans="1:7">
      <c r="A19" s="171" t="s">
        <v>72</v>
      </c>
      <c r="B19" s="37">
        <f>aantalw2001_ander</f>
        <v>5</v>
      </c>
      <c r="C19" s="166" t="s">
        <v>111</v>
      </c>
      <c r="D19" s="229"/>
      <c r="E19" s="15"/>
    </row>
    <row r="20" spans="1:7">
      <c r="A20" s="171" t="s">
        <v>73</v>
      </c>
      <c r="B20" s="37">
        <f>aantalw2001_propaan</f>
        <v>40</v>
      </c>
      <c r="C20" s="167">
        <f>IF(ISERROR(B20/SUM($B$20,$B$21,$B$22)*100),0,B20/SUM($B$20,$B$21,$B$22)*100)</f>
        <v>6.7911714770797964</v>
      </c>
      <c r="D20" s="229"/>
      <c r="E20" s="15"/>
    </row>
    <row r="21" spans="1:7">
      <c r="A21" s="171" t="s">
        <v>74</v>
      </c>
      <c r="B21" s="37">
        <f>aantalw2001_elektriciteit</f>
        <v>397</v>
      </c>
      <c r="C21" s="167">
        <f>IF(ISERROR(B21/SUM($B$20,$B$21,$B$22)*100),0,B21/SUM($B$20,$B$21,$B$22)*100)</f>
        <v>67.402376910016983</v>
      </c>
      <c r="D21" s="229"/>
      <c r="E21" s="15"/>
    </row>
    <row r="22" spans="1:7">
      <c r="A22" s="171" t="s">
        <v>75</v>
      </c>
      <c r="B22" s="37">
        <f>aantalw2001_hout</f>
        <v>152</v>
      </c>
      <c r="C22" s="167">
        <f>IF(ISERROR(B22/SUM($B$20,$B$21,$B$22)*100),0,B22/SUM($B$20,$B$21,$B$22)*100)</f>
        <v>25.806451612903224</v>
      </c>
      <c r="D22" s="229"/>
      <c r="E22" s="15"/>
    </row>
    <row r="23" spans="1:7">
      <c r="A23" s="171" t="s">
        <v>76</v>
      </c>
      <c r="B23" s="37">
        <f>aantalw2001_niet_gespec</f>
        <v>60</v>
      </c>
      <c r="C23" s="166" t="s">
        <v>111</v>
      </c>
      <c r="D23" s="228"/>
      <c r="E23" s="15"/>
    </row>
    <row r="24" spans="1:7">
      <c r="A24" s="171" t="s">
        <v>77</v>
      </c>
      <c r="B24" s="37">
        <f>aantalw2001_steenkool</f>
        <v>156</v>
      </c>
      <c r="C24" s="166" t="s">
        <v>111</v>
      </c>
      <c r="D24" s="229"/>
      <c r="E24" s="15"/>
    </row>
    <row r="25" spans="1:7">
      <c r="A25" s="171" t="s">
        <v>78</v>
      </c>
      <c r="B25" s="37">
        <f>aantalw2001_stookolie</f>
        <v>1690</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793</v>
      </c>
      <c r="B28" s="37">
        <f>aantalHuishoudens2011</f>
        <v>7079</v>
      </c>
      <c r="C28" s="36"/>
      <c r="D28" s="228"/>
    </row>
    <row r="29" spans="1:7" s="15" customFormat="1">
      <c r="A29" s="230" t="s">
        <v>794</v>
      </c>
      <c r="B29" s="37">
        <f>SUM(HH_hh_gas_aantal,HH_rest_gas_aantal)</f>
        <v>5323</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5323</v>
      </c>
      <c r="C32" s="167">
        <f>IF(ISERROR(B32/SUM($B$32,$B$34,$B$35,$B$36,$B$38,$B$39)*100),0,B32/SUM($B$32,$B$34,$B$35,$B$36,$B$38,$B$39)*100)</f>
        <v>75.891074992871395</v>
      </c>
      <c r="D32" s="233"/>
      <c r="G32" s="15"/>
    </row>
    <row r="33" spans="1:7">
      <c r="A33" s="171" t="s">
        <v>72</v>
      </c>
      <c r="B33" s="34" t="s">
        <v>111</v>
      </c>
      <c r="C33" s="167"/>
      <c r="D33" s="233"/>
      <c r="G33" s="15"/>
    </row>
    <row r="34" spans="1:7">
      <c r="A34" s="171" t="s">
        <v>73</v>
      </c>
      <c r="B34" s="33">
        <f>IF((($B$28-$B$32-$B$39-$B$77-$B$38)*C20/100)&lt;0,0,($B$28-$B$32-$B$39-$B$77-$B$38)*C20/100)</f>
        <v>114.83870967741936</v>
      </c>
      <c r="C34" s="167">
        <f>IF(ISERROR(B34/SUM($B$32,$B$34,$B$35,$B$36,$B$38,$B$39)*100),0,B34/SUM($B$32,$B$34,$B$35,$B$36,$B$38,$B$39)*100)</f>
        <v>1.6372784385146757</v>
      </c>
      <c r="D34" s="233"/>
      <c r="G34" s="15"/>
    </row>
    <row r="35" spans="1:7">
      <c r="A35" s="171" t="s">
        <v>74</v>
      </c>
      <c r="B35" s="33">
        <f>IF((($B$28-$B$32-$B$39-$B$77-$B$38)*C21/100)&lt;0,0,($B$28-$B$32-$B$39-$B$77-$B$38)*C21/100)</f>
        <v>1139.7741935483871</v>
      </c>
      <c r="C35" s="167">
        <f>IF(ISERROR(B35/SUM($B$32,$B$34,$B$35,$B$36,$B$38,$B$39)*100),0,B35/SUM($B$32,$B$34,$B$35,$B$36,$B$38,$B$39)*100)</f>
        <v>16.249988502258155</v>
      </c>
      <c r="D35" s="233"/>
      <c r="G35" s="15"/>
    </row>
    <row r="36" spans="1:7">
      <c r="A36" s="171" t="s">
        <v>75</v>
      </c>
      <c r="B36" s="33">
        <f>IF((($B$28-$B$32-$B$39-$B$77-$B$38)*C22/100)&lt;0,0,($B$28-$B$32-$B$39-$B$77-$B$38)*C22/100)</f>
        <v>436.38709677419348</v>
      </c>
      <c r="C36" s="167">
        <f>IF(ISERROR(B36/SUM($B$32,$B$34,$B$35,$B$36,$B$38,$B$39)*100),0,B36/SUM($B$32,$B$34,$B$35,$B$36,$B$38,$B$39)*100)</f>
        <v>6.2216580663557668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5323</v>
      </c>
      <c r="C44" s="34" t="s">
        <v>111</v>
      </c>
      <c r="D44" s="174"/>
    </row>
    <row r="45" spans="1:7">
      <c r="A45" s="171" t="s">
        <v>72</v>
      </c>
      <c r="B45" s="33" t="str">
        <f t="shared" si="0"/>
        <v>-</v>
      </c>
      <c r="C45" s="34" t="s">
        <v>111</v>
      </c>
      <c r="D45" s="174"/>
    </row>
    <row r="46" spans="1:7">
      <c r="A46" s="171" t="s">
        <v>73</v>
      </c>
      <c r="B46" s="33">
        <f t="shared" si="0"/>
        <v>114.83870967741936</v>
      </c>
      <c r="C46" s="34" t="s">
        <v>111</v>
      </c>
      <c r="D46" s="174"/>
    </row>
    <row r="47" spans="1:7">
      <c r="A47" s="171" t="s">
        <v>74</v>
      </c>
      <c r="B47" s="33">
        <f t="shared" si="0"/>
        <v>1139.7741935483871</v>
      </c>
      <c r="C47" s="34" t="s">
        <v>111</v>
      </c>
      <c r="D47" s="174"/>
    </row>
    <row r="48" spans="1:7">
      <c r="A48" s="171" t="s">
        <v>75</v>
      </c>
      <c r="B48" s="33">
        <f t="shared" si="0"/>
        <v>436.38709677419348</v>
      </c>
      <c r="C48" s="33">
        <f>B48*10</f>
        <v>4363.8709677419347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14079.057785068331</v>
      </c>
      <c r="C5" s="17">
        <f>IF(ISERROR('Eigen informatie GS &amp; warmtenet'!B58),0,'Eigen informatie GS &amp; warmtenet'!B58)</f>
        <v>0</v>
      </c>
      <c r="D5" s="30">
        <f>SUM(D6:D12)</f>
        <v>19669.71053137978</v>
      </c>
      <c r="E5" s="17">
        <f>SUM(E6:E12)</f>
        <v>242.83415396987829</v>
      </c>
      <c r="F5" s="17">
        <f>SUM(F6:F12)</f>
        <v>2460.7687619862436</v>
      </c>
      <c r="G5" s="18"/>
      <c r="H5" s="17"/>
      <c r="I5" s="17"/>
      <c r="J5" s="17">
        <f>SUM(J6:J12)</f>
        <v>3.1072955424853353E-2</v>
      </c>
      <c r="K5" s="17"/>
      <c r="L5" s="17"/>
      <c r="M5" s="17"/>
      <c r="N5" s="17">
        <f>SUM(N6:N12)</f>
        <v>1238.3837835471522</v>
      </c>
      <c r="O5" s="17">
        <f>B38*B39*B40</f>
        <v>4.6900000000000004</v>
      </c>
      <c r="P5" s="17">
        <f>B46*B47*B48/1000-B46*B47*B48/1000/B49</f>
        <v>95.333333333333343</v>
      </c>
      <c r="R5" s="32"/>
    </row>
    <row r="6" spans="1:18">
      <c r="A6" s="32" t="s">
        <v>54</v>
      </c>
      <c r="B6" s="37">
        <f>B26</f>
        <v>2393.98666983776</v>
      </c>
      <c r="C6" s="33"/>
      <c r="D6" s="37">
        <f>IF(ISERROR(TER_kantoor_gas_kWh/1000),0,TER_kantoor_gas_kWh/1000)*0.902</f>
        <v>3384.6725156584803</v>
      </c>
      <c r="E6" s="33">
        <f>$C$26*'E Balans VL '!I12/100/3.6*1000000</f>
        <v>1.5004712219050718E-2</v>
      </c>
      <c r="F6" s="33">
        <f>$C$26*('E Balans VL '!L12+'E Balans VL '!N12)/100/3.6*1000000</f>
        <v>359.74930210909253</v>
      </c>
      <c r="G6" s="34"/>
      <c r="H6" s="33"/>
      <c r="I6" s="33"/>
      <c r="J6" s="33">
        <f>$C$26*('E Balans VL '!D12+'E Balans VL '!E12)/100/3.6*1000000</f>
        <v>0</v>
      </c>
      <c r="K6" s="33"/>
      <c r="L6" s="33"/>
      <c r="M6" s="33"/>
      <c r="N6" s="33">
        <f>$C$26*'E Balans VL '!Y12/100/3.6*1000000</f>
        <v>2.2894933022225992</v>
      </c>
      <c r="O6" s="33"/>
      <c r="P6" s="33"/>
      <c r="R6" s="32"/>
    </row>
    <row r="7" spans="1:18">
      <c r="A7" s="32" t="s">
        <v>53</v>
      </c>
      <c r="B7" s="37">
        <f t="shared" ref="B7:B12" si="0">B27</f>
        <v>1980.0760862552299</v>
      </c>
      <c r="C7" s="33"/>
      <c r="D7" s="37">
        <f>IF(ISERROR(TER_horeca_gas_kWh/1000),0,TER_horeca_gas_kWh/1000)*0.902</f>
        <v>5732.5891108737032</v>
      </c>
      <c r="E7" s="33">
        <f>$C$27*'E Balans VL '!I9/100/3.6*1000000</f>
        <v>28.354359737460491</v>
      </c>
      <c r="F7" s="33">
        <f>$C$27*('E Balans VL '!L9+'E Balans VL '!N9)/100/3.6*1000000</f>
        <v>250.74293794518471</v>
      </c>
      <c r="G7" s="34"/>
      <c r="H7" s="33"/>
      <c r="I7" s="33"/>
      <c r="J7" s="33">
        <f>$C$27*('E Balans VL '!D9+'E Balans VL '!E9)/100/3.6*1000000</f>
        <v>0</v>
      </c>
      <c r="K7" s="33"/>
      <c r="L7" s="33"/>
      <c r="M7" s="33"/>
      <c r="N7" s="33">
        <f>$C$27*'E Balans VL '!Y9/100/3.6*1000000</f>
        <v>0.5692282178681729</v>
      </c>
      <c r="O7" s="33"/>
      <c r="P7" s="33"/>
      <c r="R7" s="32"/>
    </row>
    <row r="8" spans="1:18">
      <c r="A8" s="6" t="s">
        <v>52</v>
      </c>
      <c r="B8" s="37">
        <f t="shared" si="0"/>
        <v>4610.5703794474393</v>
      </c>
      <c r="C8" s="33"/>
      <c r="D8" s="37">
        <f>IF(ISERROR(TER_handel_gas_kWh/1000),0,TER_handel_gas_kWh/1000)*0.902</f>
        <v>2480.0697994395405</v>
      </c>
      <c r="E8" s="33">
        <f>$C$28*'E Balans VL '!I13/100/3.6*1000000</f>
        <v>167.22481911249136</v>
      </c>
      <c r="F8" s="33">
        <f>$C$28*('E Balans VL '!L13+'E Balans VL '!N13)/100/3.6*1000000</f>
        <v>888.04254007480802</v>
      </c>
      <c r="G8" s="34"/>
      <c r="H8" s="33"/>
      <c r="I8" s="33"/>
      <c r="J8" s="33">
        <f>$C$28*('E Balans VL '!D13+'E Balans VL '!E13)/100/3.6*1000000</f>
        <v>0</v>
      </c>
      <c r="K8" s="33"/>
      <c r="L8" s="33"/>
      <c r="M8" s="33"/>
      <c r="N8" s="33">
        <f>$C$28*'E Balans VL '!Y13/100/3.6*1000000</f>
        <v>6.386700820466749</v>
      </c>
      <c r="O8" s="33"/>
      <c r="P8" s="33"/>
      <c r="R8" s="32"/>
    </row>
    <row r="9" spans="1:18">
      <c r="A9" s="32" t="s">
        <v>51</v>
      </c>
      <c r="B9" s="37">
        <f t="shared" si="0"/>
        <v>371.62506457707298</v>
      </c>
      <c r="C9" s="33"/>
      <c r="D9" s="37">
        <f>IF(ISERROR(TER_gezond_gas_kWh/1000),0,TER_gezond_gas_kWh/1000)*0.902</f>
        <v>1892.6945295791434</v>
      </c>
      <c r="E9" s="33">
        <f>$C$29*'E Balans VL '!I10/100/3.6*1000000</f>
        <v>2.3267398177169961E-2</v>
      </c>
      <c r="F9" s="33">
        <f>$C$29*('E Balans VL '!L10+'E Balans VL '!N10)/100/3.6*1000000</f>
        <v>55.20603483348836</v>
      </c>
      <c r="G9" s="34"/>
      <c r="H9" s="33"/>
      <c r="I9" s="33"/>
      <c r="J9" s="33">
        <f>$C$29*('E Balans VL '!D10+'E Balans VL '!E10)/100/3.6*1000000</f>
        <v>0</v>
      </c>
      <c r="K9" s="33"/>
      <c r="L9" s="33"/>
      <c r="M9" s="33"/>
      <c r="N9" s="33">
        <f>$C$29*'E Balans VL '!Y10/100/3.6*1000000</f>
        <v>5.748332357631682</v>
      </c>
      <c r="O9" s="33"/>
      <c r="P9" s="33"/>
      <c r="R9" s="32"/>
    </row>
    <row r="10" spans="1:18">
      <c r="A10" s="32" t="s">
        <v>50</v>
      </c>
      <c r="B10" s="37">
        <f t="shared" si="0"/>
        <v>1018.25409886313</v>
      </c>
      <c r="C10" s="33"/>
      <c r="D10" s="37">
        <f>IF(ISERROR(TER_ander_gas_kWh/1000),0,TER_ander_gas_kWh/1000)*0.902</f>
        <v>2768.2078058239558</v>
      </c>
      <c r="E10" s="33">
        <f>$C$30*'E Balans VL '!I14/100/3.6*1000000</f>
        <v>1.2137224995915541</v>
      </c>
      <c r="F10" s="33">
        <f>$C$30*('E Balans VL '!L14+'E Balans VL '!N14)/100/3.6*1000000</f>
        <v>266.42054028433762</v>
      </c>
      <c r="G10" s="34"/>
      <c r="H10" s="33"/>
      <c r="I10" s="33"/>
      <c r="J10" s="33">
        <f>$C$30*('E Balans VL '!D14+'E Balans VL '!E14)/100/3.6*1000000</f>
        <v>2.210230504046265E-2</v>
      </c>
      <c r="K10" s="33"/>
      <c r="L10" s="33"/>
      <c r="M10" s="33"/>
      <c r="N10" s="33">
        <f>$C$30*'E Balans VL '!Y14/100/3.6*1000000</f>
        <v>864.6764644274931</v>
      </c>
      <c r="O10" s="33"/>
      <c r="P10" s="33"/>
      <c r="R10" s="32"/>
    </row>
    <row r="11" spans="1:18">
      <c r="A11" s="32" t="s">
        <v>55</v>
      </c>
      <c r="B11" s="37">
        <f t="shared" si="0"/>
        <v>0</v>
      </c>
      <c r="C11" s="33"/>
      <c r="D11" s="37">
        <f>IF(ISERROR(TER_onderwijs_gas_kWh/1000),0,TER_onderwijs_gas_kWh/1000)*0.902</f>
        <v>695.42213258725326</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3704.5454860876998</v>
      </c>
      <c r="C12" s="33"/>
      <c r="D12" s="37">
        <f>IF(ISERROR(TER_rest_gas_kWh/1000),0,TER_rest_gas_kWh/1000)*0.902</f>
        <v>2716.054637417707</v>
      </c>
      <c r="E12" s="33">
        <f>$C$32*'E Balans VL '!I8/100/3.6*1000000</f>
        <v>46.002980509938652</v>
      </c>
      <c r="F12" s="33">
        <f>$C$32*('E Balans VL '!L8+'E Balans VL '!N8)/100/3.6*1000000</f>
        <v>640.6074067393323</v>
      </c>
      <c r="G12" s="34"/>
      <c r="H12" s="33"/>
      <c r="I12" s="33"/>
      <c r="J12" s="33">
        <f>$C$32*('E Balans VL '!D8+'E Balans VL '!E8)/100/3.6*1000000</f>
        <v>8.9706503843907017E-3</v>
      </c>
      <c r="K12" s="33"/>
      <c r="L12" s="33"/>
      <c r="M12" s="33"/>
      <c r="N12" s="33">
        <f>$C$32*'E Balans VL '!Y8/100/3.6*1000000</f>
        <v>358.7135644214701</v>
      </c>
      <c r="O12" s="33"/>
      <c r="P12" s="33"/>
      <c r="R12" s="32"/>
    </row>
    <row r="13" spans="1:18">
      <c r="A13" s="16" t="s">
        <v>488</v>
      </c>
      <c r="B13" s="247">
        <f ca="1">'lokale energieproductie'!N91+'lokale energieproductie'!N60</f>
        <v>315.00000000000006</v>
      </c>
      <c r="C13" s="247">
        <f ca="1">'lokale energieproductie'!O91+'lokale energieproductie'!O60</f>
        <v>450.00000000000011</v>
      </c>
      <c r="D13" s="310">
        <f ca="1">('lokale energieproductie'!P60+'lokale energieproductie'!P91)*(-1)</f>
        <v>-900.00000000000023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14394.057785068331</v>
      </c>
      <c r="C16" s="21">
        <f t="shared" ca="1" si="1"/>
        <v>450.00000000000011</v>
      </c>
      <c r="D16" s="21">
        <f t="shared" ca="1" si="1"/>
        <v>18769.71053137978</v>
      </c>
      <c r="E16" s="21">
        <f t="shared" si="1"/>
        <v>242.83415396987829</v>
      </c>
      <c r="F16" s="21">
        <f t="shared" ca="1" si="1"/>
        <v>2460.7687619862436</v>
      </c>
      <c r="G16" s="21">
        <f t="shared" si="1"/>
        <v>0</v>
      </c>
      <c r="H16" s="21">
        <f t="shared" si="1"/>
        <v>0</v>
      </c>
      <c r="I16" s="21">
        <f t="shared" si="1"/>
        <v>0</v>
      </c>
      <c r="J16" s="21">
        <f t="shared" si="1"/>
        <v>3.1072955424853353E-2</v>
      </c>
      <c r="K16" s="21">
        <f t="shared" si="1"/>
        <v>0</v>
      </c>
      <c r="L16" s="21">
        <f t="shared" ca="1" si="1"/>
        <v>0</v>
      </c>
      <c r="M16" s="21">
        <f t="shared" si="1"/>
        <v>0</v>
      </c>
      <c r="N16" s="21">
        <f t="shared" ca="1" si="1"/>
        <v>1238.3837835471522</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0.21489481800882268</v>
      </c>
      <c r="C18" s="25">
        <f ca="1">'EF ele_warmte'!B22</f>
        <v>0.23607823565441696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3093.2084281307361</v>
      </c>
      <c r="C20" s="23">
        <f t="shared" ref="C20:P20" ca="1" si="2">C16*C18</f>
        <v>106.23520604448765</v>
      </c>
      <c r="D20" s="23">
        <f t="shared" ca="1" si="2"/>
        <v>3791.4815273387158</v>
      </c>
      <c r="E20" s="23">
        <f t="shared" si="2"/>
        <v>55.123352951162374</v>
      </c>
      <c r="F20" s="23">
        <f t="shared" ca="1" si="2"/>
        <v>657.0252594503271</v>
      </c>
      <c r="G20" s="23">
        <f t="shared" si="2"/>
        <v>0</v>
      </c>
      <c r="H20" s="23">
        <f t="shared" si="2"/>
        <v>0</v>
      </c>
      <c r="I20" s="23">
        <f t="shared" si="2"/>
        <v>0</v>
      </c>
      <c r="J20" s="23">
        <f t="shared" si="2"/>
        <v>1.0999826220398086E-2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2393.98666983776</v>
      </c>
      <c r="C26" s="39">
        <f>IF(ISERROR(B26*3.6/1000000/'E Balans VL '!Z12*100),0,B26*3.6/1000000/'E Balans VL '!Z12*100)</f>
        <v>5.060508581915537E-2</v>
      </c>
      <c r="D26" s="237" t="s">
        <v>754</v>
      </c>
      <c r="F26" s="6"/>
    </row>
    <row r="27" spans="1:18">
      <c r="A27" s="231" t="s">
        <v>53</v>
      </c>
      <c r="B27" s="33">
        <f>IF(ISERROR(TER_horeca_ele_kWh/1000),0,TER_horeca_ele_kWh/1000)</f>
        <v>1980.0760862552299</v>
      </c>
      <c r="C27" s="39">
        <f>IF(ISERROR(B27*3.6/1000000/'E Balans VL '!Z9*100),0,B27*3.6/1000000/'E Balans VL '!Z9*100)</f>
        <v>0.15608865986746553</v>
      </c>
      <c r="D27" s="237" t="s">
        <v>754</v>
      </c>
      <c r="F27" s="6"/>
    </row>
    <row r="28" spans="1:18">
      <c r="A28" s="171" t="s">
        <v>52</v>
      </c>
      <c r="B28" s="33">
        <f>IF(ISERROR(TER_handel_ele_kWh/1000),0,TER_handel_ele_kWh/1000)</f>
        <v>4610.5703794474393</v>
      </c>
      <c r="C28" s="39">
        <f>IF(ISERROR(B28*3.6/1000000/'E Balans VL '!Z13*100),0,B28*3.6/1000000/'E Balans VL '!Z13*100)</f>
        <v>0.1338173812033675</v>
      </c>
      <c r="D28" s="237" t="s">
        <v>754</v>
      </c>
      <c r="F28" s="6"/>
    </row>
    <row r="29" spans="1:18">
      <c r="A29" s="231" t="s">
        <v>51</v>
      </c>
      <c r="B29" s="33">
        <f>IF(ISERROR(TER_gezond_ele_kWh/1000),0,TER_gezond_ele_kWh/1000)</f>
        <v>371.62506457707298</v>
      </c>
      <c r="C29" s="39">
        <f>IF(ISERROR(B29*3.6/1000000/'E Balans VL '!Z10*100),0,B29*3.6/1000000/'E Balans VL '!Z10*100)</f>
        <v>3.9138221544601809E-2</v>
      </c>
      <c r="D29" s="237" t="s">
        <v>754</v>
      </c>
      <c r="F29" s="6"/>
    </row>
    <row r="30" spans="1:18">
      <c r="A30" s="231" t="s">
        <v>50</v>
      </c>
      <c r="B30" s="33">
        <f>IF(ISERROR(TER_ander_ele_kWh/1000),0,TER_ander_ele_kWh/1000)</f>
        <v>1018.25409886313</v>
      </c>
      <c r="C30" s="39">
        <f>IF(ISERROR(B30*3.6/1000000/'E Balans VL '!Z14*100),0,B30*3.6/1000000/'E Balans VL '!Z14*100)</f>
        <v>7.5106643495834596E-2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3704.5454860876998</v>
      </c>
      <c r="C32" s="39">
        <f>IF(ISERROR(B32*3.6/1000000/'E Balans VL '!Z8*100),0,B32*3.6/1000000/'E Balans VL '!Z8*100)</f>
        <v>3.0483492066223913E-2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5</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235288.709766555</v>
      </c>
      <c r="C5" s="17">
        <f>IF(ISERROR('Eigen informatie GS &amp; warmtenet'!B59),0,'Eigen informatie GS &amp; warmtenet'!B59)</f>
        <v>0</v>
      </c>
      <c r="D5" s="30">
        <f>SUM(D6:D15)</f>
        <v>407834.36746705294</v>
      </c>
      <c r="E5" s="17">
        <f>SUM(E6:E15)</f>
        <v>3736.2019974018058</v>
      </c>
      <c r="F5" s="17">
        <f>SUM(F6:F15)</f>
        <v>37788.747315803426</v>
      </c>
      <c r="G5" s="18"/>
      <c r="H5" s="17"/>
      <c r="I5" s="17"/>
      <c r="J5" s="17">
        <f>SUM(J6:J15)</f>
        <v>26580.785862600289</v>
      </c>
      <c r="K5" s="17"/>
      <c r="L5" s="17"/>
      <c r="M5" s="17"/>
      <c r="N5" s="17">
        <f>SUM(N6:N15)</f>
        <v>13824.966075404376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92404.852740438189</v>
      </c>
      <c r="C7" s="33"/>
      <c r="D7" s="37">
        <f>IF( ISERROR(IND_nonf_gas_kWhh/1000),0,IND_nonf_gas_kWh/1000)*0.902</f>
        <v>0</v>
      </c>
      <c r="E7" s="33">
        <f>C29*'E Balans VL '!I17/100/3.6*1000000</f>
        <v>855.78615445764297</v>
      </c>
      <c r="F7" s="33">
        <f>C29*'E Balans VL '!L17/100/3.6*1000000+C29*'E Balans VL '!N17/100/3.6*1000000</f>
        <v>21634.284121910656</v>
      </c>
      <c r="G7" s="34"/>
      <c r="H7" s="33"/>
      <c r="I7" s="33"/>
      <c r="J7" s="40">
        <f>C29*'E Balans VL '!D17/100/3.6*1000000+C29*'E Balans VL '!E17/100/3.6*1000000</f>
        <v>26456.311054086622</v>
      </c>
      <c r="K7" s="33"/>
      <c r="L7" s="33"/>
      <c r="M7" s="33"/>
      <c r="N7" s="33">
        <f>C29*'E Balans VL '!Y17/100/3.6*1000000</f>
        <v>0</v>
      </c>
      <c r="O7" s="33"/>
      <c r="P7" s="33"/>
      <c r="R7" s="32"/>
    </row>
    <row r="8" spans="1:18">
      <c r="A8" s="6" t="s">
        <v>36</v>
      </c>
      <c r="B8" s="37">
        <f t="shared" si="0"/>
        <v>1121.7497801441</v>
      </c>
      <c r="C8" s="33"/>
      <c r="D8" s="37">
        <f>IF( ISERROR(IND_metaal_Gas_kWH/1000),0,IND_metaal_Gas_kWH/1000)*0.902</f>
        <v>262.02607375113126</v>
      </c>
      <c r="E8" s="33">
        <f>C30*'E Balans VL '!I18/100/3.6*1000000</f>
        <v>10.313405832184205</v>
      </c>
      <c r="F8" s="33">
        <f>C30*'E Balans VL '!L18/100/3.6*1000000+C30*'E Balans VL '!N18/100/3.6*1000000</f>
        <v>105.18278254691816</v>
      </c>
      <c r="G8" s="34"/>
      <c r="H8" s="33"/>
      <c r="I8" s="33"/>
      <c r="J8" s="40">
        <f>C30*'E Balans VL '!D18/100/3.6*1000000+C30*'E Balans VL '!E18/100/3.6*1000000</f>
        <v>0</v>
      </c>
      <c r="K8" s="33"/>
      <c r="L8" s="33"/>
      <c r="M8" s="33"/>
      <c r="N8" s="33">
        <f>C30*'E Balans VL '!Y18/100/3.6*1000000</f>
        <v>16.003614383331453</v>
      </c>
      <c r="O8" s="33"/>
      <c r="P8" s="33"/>
      <c r="R8" s="32"/>
    </row>
    <row r="9" spans="1:18">
      <c r="A9" s="6" t="s">
        <v>33</v>
      </c>
      <c r="B9" s="37">
        <f t="shared" si="0"/>
        <v>2203.8775883110902</v>
      </c>
      <c r="C9" s="33"/>
      <c r="D9" s="37">
        <f>IF( ISERROR(IND_andere_gas_kWh/1000),0,IND_andere_gas_kWh/1000)*0.902</f>
        <v>1640.7426795170722</v>
      </c>
      <c r="E9" s="33">
        <f>C31*'E Balans VL '!I19/100/3.6*1000000</f>
        <v>644.23632349942693</v>
      </c>
      <c r="F9" s="33">
        <f>C31*'E Balans VL '!L19/100/3.6*1000000+C31*'E Balans VL '!N19/100/3.6*1000000</f>
        <v>1770.9824604131509</v>
      </c>
      <c r="G9" s="34"/>
      <c r="H9" s="33"/>
      <c r="I9" s="33"/>
      <c r="J9" s="40">
        <f>C31*'E Balans VL '!D19/100/3.6*1000000+C31*'E Balans VL '!E19/100/3.6*1000000</f>
        <v>0</v>
      </c>
      <c r="K9" s="33"/>
      <c r="L9" s="33"/>
      <c r="M9" s="33"/>
      <c r="N9" s="33">
        <f>C31*'E Balans VL '!Y19/100/3.6*1000000</f>
        <v>728.19533489603486</v>
      </c>
      <c r="O9" s="33"/>
      <c r="P9" s="33"/>
      <c r="R9" s="32"/>
    </row>
    <row r="10" spans="1:18">
      <c r="A10" s="6" t="s">
        <v>41</v>
      </c>
      <c r="B10" s="37">
        <f t="shared" si="0"/>
        <v>12507.955491958</v>
      </c>
      <c r="C10" s="33"/>
      <c r="D10" s="37">
        <f>IF( ISERROR(IND_voed_gas_kWh/1000),0,IND_voed_gas_kWh/1000)*0.902</f>
        <v>398.88106713871235</v>
      </c>
      <c r="E10" s="33">
        <f>C32*'E Balans VL '!I20/100/3.6*1000000</f>
        <v>26.460773781384034</v>
      </c>
      <c r="F10" s="33">
        <f>C32*'E Balans VL '!L20/100/3.6*1000000+C32*'E Balans VL '!N20/100/3.6*1000000</f>
        <v>795.26858668055957</v>
      </c>
      <c r="G10" s="34"/>
      <c r="H10" s="33"/>
      <c r="I10" s="33"/>
      <c r="J10" s="40">
        <f>C32*'E Balans VL '!D20/100/3.6*1000000+C32*'E Balans VL '!E20/100/3.6*1000000</f>
        <v>0</v>
      </c>
      <c r="K10" s="33"/>
      <c r="L10" s="33"/>
      <c r="M10" s="33"/>
      <c r="N10" s="33">
        <f>C32*'E Balans VL '!Y20/100/3.6*1000000</f>
        <v>863.17236046589437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22695.558409519501</v>
      </c>
      <c r="C12" s="33"/>
      <c r="D12" s="37">
        <f>IF( ISERROR(IND_min_gas_kWh/1000),0,IND_min_gas_kWh/1000)*0.902</f>
        <v>218739.41498552362</v>
      </c>
      <c r="E12" s="33">
        <f>C34*'E Balans VL '!I22/100/3.6*1000000</f>
        <v>657.85078560517354</v>
      </c>
      <c r="F12" s="33">
        <f>C34*'E Balans VL '!L22/100/3.6*1000000+C34*'E Balans VL '!N22/100/3.6*1000000</f>
        <v>7802.9894467187014</v>
      </c>
      <c r="G12" s="34"/>
      <c r="H12" s="33"/>
      <c r="I12" s="33"/>
      <c r="J12" s="40">
        <f>C34*'E Balans VL '!D22/100/3.6*1000000+C34*'E Balans VL '!E22/100/3.6*1000000</f>
        <v>37.295641671351518</v>
      </c>
      <c r="K12" s="33"/>
      <c r="L12" s="33"/>
      <c r="M12" s="33"/>
      <c r="N12" s="33">
        <f>C34*'E Balans VL '!Y22/100/3.6*1000000</f>
        <v>4968.4306985660278</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80002.863826557208</v>
      </c>
      <c r="C14" s="33"/>
      <c r="D14" s="37">
        <f>IF( ISERROR(IND_chemie_gas_kWh/1000),0,IND_chemie_gas_kWh/1000)*0.902</f>
        <v>132545.2171300285</v>
      </c>
      <c r="E14" s="33">
        <f>C36*'E Balans VL '!I24/100/3.6*1000000</f>
        <v>196.94412841596738</v>
      </c>
      <c r="F14" s="33">
        <f>C36*'E Balans VL '!L24/100/3.6*1000000+C36*'E Balans VL '!N24/100/3.6*1000000</f>
        <v>856.66691364954215</v>
      </c>
      <c r="G14" s="34"/>
      <c r="H14" s="33"/>
      <c r="I14" s="33"/>
      <c r="J14" s="40">
        <f>C36*'E Balans VL '!D24/100/3.6*1000000+C36*'E Balans VL '!E24/100/3.6*1000000</f>
        <v>0</v>
      </c>
      <c r="K14" s="33"/>
      <c r="L14" s="33"/>
      <c r="M14" s="33"/>
      <c r="N14" s="33">
        <f>C36*'E Balans VL '!Y24/100/3.6*1000000</f>
        <v>1786.6614381738241</v>
      </c>
      <c r="O14" s="33"/>
      <c r="P14" s="33"/>
      <c r="R14" s="32"/>
    </row>
    <row r="15" spans="1:18">
      <c r="A15" s="6" t="s">
        <v>270</v>
      </c>
      <c r="B15" s="37">
        <f t="shared" si="0"/>
        <v>24351.851929626901</v>
      </c>
      <c r="C15" s="33"/>
      <c r="D15" s="37">
        <f>IF( ISERROR(IND_rest_gas_kWh/1000),0,IND_rest_gas_kWh/1000)*0.902</f>
        <v>54248.085531093951</v>
      </c>
      <c r="E15" s="33">
        <f>C37*'E Balans VL '!I15/100/3.6*1000000</f>
        <v>1344.610425810027</v>
      </c>
      <c r="F15" s="33">
        <f>C37*'E Balans VL '!L15/100/3.6*1000000+C37*'E Balans VL '!N15/100/3.6*1000000</f>
        <v>4823.3730038839003</v>
      </c>
      <c r="G15" s="34"/>
      <c r="H15" s="33"/>
      <c r="I15" s="33"/>
      <c r="J15" s="40">
        <f>C37*'E Balans VL '!D15/100/3.6*1000000+C37*'E Balans VL '!E15/100/3.6*1000000</f>
        <v>87.179166842312611</v>
      </c>
      <c r="K15" s="33"/>
      <c r="L15" s="33"/>
      <c r="M15" s="33"/>
      <c r="N15" s="33">
        <f>C37*'E Balans VL '!Y15/100/3.6*1000000</f>
        <v>5462.5026289192638</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235288.709766555</v>
      </c>
      <c r="C18" s="21">
        <f>C5+C16</f>
        <v>0</v>
      </c>
      <c r="D18" s="21">
        <f>MAX((D5+D16),0)</f>
        <v>407834.36746705294</v>
      </c>
      <c r="E18" s="21">
        <f>MAX((E5+E16),0)</f>
        <v>3736.2019974018058</v>
      </c>
      <c r="F18" s="21">
        <f>MAX((F5+F16),0)</f>
        <v>37788.747315803426</v>
      </c>
      <c r="G18" s="21"/>
      <c r="H18" s="21"/>
      <c r="I18" s="21"/>
      <c r="J18" s="21">
        <f>MAX((J5+J16),0)</f>
        <v>26580.785862600289</v>
      </c>
      <c r="K18" s="21"/>
      <c r="L18" s="21">
        <f>MAX((L5+L16),0)</f>
        <v>0</v>
      </c>
      <c r="M18" s="21"/>
      <c r="N18" s="21">
        <f>MAX((N5+N16),0)</f>
        <v>13824.966075404376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0.21489481800882268</v>
      </c>
      <c r="C20" s="25">
        <f ca="1">'EF ele_warmte'!B22</f>
        <v>0.23607823565441696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50562.324464814534</v>
      </c>
      <c r="C22" s="23">
        <f ca="1">C18*C20</f>
        <v>0</v>
      </c>
      <c r="D22" s="23">
        <f>D18*D20</f>
        <v>82382.542228344697</v>
      </c>
      <c r="E22" s="23">
        <f>E18*E20</f>
        <v>848.11785341020993</v>
      </c>
      <c r="F22" s="23">
        <f>F18*F20</f>
        <v>10089.595533319516</v>
      </c>
      <c r="G22" s="23"/>
      <c r="H22" s="23"/>
      <c r="I22" s="23"/>
      <c r="J22" s="23">
        <f>J18*J20</f>
        <v>9409.5981953605024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92404.852740438189</v>
      </c>
      <c r="C29" s="39">
        <f>IF(ISERROR(B29*3.6/1000000/'E Balans VL '!Z17*100),0,B29*3.6/1000000/'E Balans VL '!Z17*100)</f>
        <v>59.901081631894229</v>
      </c>
      <c r="D29" s="237" t="s">
        <v>754</v>
      </c>
    </row>
    <row r="30" spans="1:18">
      <c r="A30" s="171" t="s">
        <v>36</v>
      </c>
      <c r="B30" s="37">
        <f>IF( ISERROR(IND_metaal_ele_kWh/1000),0,IND_metaal_ele_kWh/1000)</f>
        <v>1121.7497801441</v>
      </c>
      <c r="C30" s="39">
        <f>IF(ISERROR(B30*3.6/1000000/'E Balans VL '!Z18*100),0,B30*3.6/1000000/'E Balans VL '!Z18*100)</f>
        <v>6.3572436395329945E-2</v>
      </c>
      <c r="D30" s="237" t="s">
        <v>754</v>
      </c>
    </row>
    <row r="31" spans="1:18">
      <c r="A31" s="6" t="s">
        <v>33</v>
      </c>
      <c r="B31" s="37">
        <f>IF( ISERROR(IND_ander_ele_kWh/1000),0,IND_ander_ele_kWh/1000)</f>
        <v>2203.8775883110902</v>
      </c>
      <c r="C31" s="39">
        <f>IF(ISERROR(B31*3.6/1000000/'E Balans VL '!Z19*100),0,B31*3.6/1000000/'E Balans VL '!Z19*100)</f>
        <v>9.9958710619232477E-2</v>
      </c>
      <c r="D31" s="237" t="s">
        <v>754</v>
      </c>
    </row>
    <row r="32" spans="1:18">
      <c r="A32" s="171" t="s">
        <v>41</v>
      </c>
      <c r="B32" s="37">
        <f>IF( ISERROR(IND_voed_ele_kWh/1000),0,IND_voed_ele_kWh/1000)</f>
        <v>12507.955491958</v>
      </c>
      <c r="C32" s="39">
        <f>IF(ISERROR(B32*3.6/1000000/'E Balans VL '!Z20*100),0,B32*3.6/1000000/'E Balans VL '!Z20*100)</f>
        <v>0.38692784468983538</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22695.558409519501</v>
      </c>
      <c r="C34" s="39">
        <f>IF(ISERROR(B34*3.6/1000000/'E Balans VL '!Z22*100),0,B34*3.6/1000000/'E Balans VL '!Z22*100)</f>
        <v>4.0822228646052308</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80002.863826557208</v>
      </c>
      <c r="C36" s="39">
        <f>IF(ISERROR(B36*3.6/1000000/'E Balans VL '!Z24*100),0,B36*3.6/1000000/'E Balans VL '!Z24*100)</f>
        <v>2.4396093190260371</v>
      </c>
      <c r="D36" s="237" t="s">
        <v>754</v>
      </c>
    </row>
    <row r="37" spans="1:5">
      <c r="A37" s="171" t="s">
        <v>270</v>
      </c>
      <c r="B37" s="37">
        <f>IF( ISERROR(IND_rest_ele_kWh/1000),0,IND_rest_ele_kWh/1000)</f>
        <v>24351.851929626901</v>
      </c>
      <c r="C37" s="39">
        <f>IF(ISERROR(B37*3.6/1000000/'E Balans VL '!Z15*100),0,B37*3.6/1000000/'E Balans VL '!Z15*100)</f>
        <v>0.19301833346075464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1609.5443605441931</v>
      </c>
      <c r="C5" s="17">
        <f>'Eigen informatie GS &amp; warmtenet'!B60</f>
        <v>0</v>
      </c>
      <c r="D5" s="30">
        <f>IF(ISERROR(SUM(LB_lb_gas_kWh,LB_rest_gas_kWh)/1000),0,SUM(LB_lb_gas_kWh,LB_rest_gas_kWh)/1000)*0.902</f>
        <v>51772.918236646474</v>
      </c>
      <c r="E5" s="17">
        <f>B17*'E Balans VL '!I25/3.6*1000000/100</f>
        <v>47.309424872296397</v>
      </c>
      <c r="F5" s="17">
        <f>B17*('E Balans VL '!L25/3.6*1000000+'E Balans VL '!N25/3.6*1000000)/100</f>
        <v>6705.2748308149903</v>
      </c>
      <c r="G5" s="18"/>
      <c r="H5" s="17"/>
      <c r="I5" s="17"/>
      <c r="J5" s="17">
        <f>('E Balans VL '!D25+'E Balans VL '!E25)/3.6*1000000*landbouw!B17/100</f>
        <v>233.18841248204507</v>
      </c>
      <c r="K5" s="17"/>
      <c r="L5" s="17">
        <f>L6*(-1)</f>
        <v>0</v>
      </c>
      <c r="M5" s="17"/>
      <c r="N5" s="17">
        <f>N6*(-1)</f>
        <v>374.14285714285711</v>
      </c>
      <c r="O5" s="17"/>
      <c r="P5" s="17"/>
      <c r="R5" s="32"/>
    </row>
    <row r="6" spans="1:18">
      <c r="A6" s="16" t="s">
        <v>488</v>
      </c>
      <c r="B6" s="17" t="s">
        <v>211</v>
      </c>
      <c r="C6" s="17">
        <f>'lokale energieproductie'!O92+'lokale energieproductie'!O61</f>
        <v>27887.785714285714</v>
      </c>
      <c r="D6" s="310">
        <f>('lokale energieproductie'!P61+'lokale energieproductie'!P92)*(-1)</f>
        <v>-55401.428571428572</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1609.5443605441931</v>
      </c>
      <c r="C8" s="21">
        <f>C5+C6</f>
        <v>27887.785714285714</v>
      </c>
      <c r="D8" s="21">
        <f>MAX((D5+D6),0)</f>
        <v>0</v>
      </c>
      <c r="E8" s="21">
        <f>MAX((E5+E6),0)</f>
        <v>47.309424872296397</v>
      </c>
      <c r="F8" s="21">
        <f>MAX((F5+F6),0)</f>
        <v>6705.2748308149903</v>
      </c>
      <c r="G8" s="21"/>
      <c r="H8" s="21"/>
      <c r="I8" s="21"/>
      <c r="J8" s="21">
        <f>MAX((J5+J6),0)</f>
        <v>233.18841248204507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0.21489481800882268</v>
      </c>
      <c r="C10" s="31">
        <f ca="1">'EF ele_warmte'!B22</f>
        <v>0.23607823565441696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345.88274243627126</v>
      </c>
      <c r="C12" s="23">
        <f ca="1">C8*C10</f>
        <v>6583.6992477370259</v>
      </c>
      <c r="D12" s="23">
        <f>D8*D10</f>
        <v>0</v>
      </c>
      <c r="E12" s="23">
        <f>E8*E10</f>
        <v>10.739239446011283</v>
      </c>
      <c r="F12" s="23">
        <f>F8*F10</f>
        <v>1790.3083798276025</v>
      </c>
      <c r="G12" s="23"/>
      <c r="H12" s="23"/>
      <c r="I12" s="23"/>
      <c r="J12" s="23">
        <f>J8*J10</f>
        <v>82.548698018643947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0.22839939455264924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244.77166485500771</v>
      </c>
      <c r="C26" s="247">
        <f>B26*'GWP N2O_CH4'!B5</f>
        <v>5140.2049619551617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65.721845185475232</v>
      </c>
      <c r="C27" s="247">
        <f>B27*'GWP N2O_CH4'!B5</f>
        <v>1380.1587488949799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5.4008256181011598</v>
      </c>
      <c r="C28" s="247">
        <f>B28*'GWP N2O_CH4'!B4</f>
        <v>1674.2559416113595</v>
      </c>
      <c r="D28" s="50"/>
    </row>
    <row r="29" spans="1:4">
      <c r="A29" s="41" t="s">
        <v>277</v>
      </c>
      <c r="B29" s="247">
        <f>B34*'ha_N2O bodem landbouw'!B4</f>
        <v>9.4787464297229942</v>
      </c>
      <c r="C29" s="247">
        <f>B29*'GWP N2O_CH4'!B4</f>
        <v>2938.4113932141281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2.1630172700494105E-3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9.614694712723631E-5</v>
      </c>
      <c r="C5" s="463" t="s">
        <v>211</v>
      </c>
      <c r="D5" s="448">
        <f>SUM(D6:D11)</f>
        <v>3.1952298993603813E-4</v>
      </c>
      <c r="E5" s="448">
        <f>SUM(E6:E11)</f>
        <v>4.2933153655986444E-4</v>
      </c>
      <c r="F5" s="461" t="s">
        <v>211</v>
      </c>
      <c r="G5" s="448">
        <f>SUM(G6:G11)</f>
        <v>0.15712857591167906</v>
      </c>
      <c r="H5" s="448">
        <f>SUM(H6:H11)</f>
        <v>3.6128182070218971E-2</v>
      </c>
      <c r="I5" s="463" t="s">
        <v>211</v>
      </c>
      <c r="J5" s="463" t="s">
        <v>211</v>
      </c>
      <c r="K5" s="463" t="s">
        <v>211</v>
      </c>
      <c r="L5" s="463" t="s">
        <v>211</v>
      </c>
      <c r="M5" s="448">
        <f>SUM(M6:M11)</f>
        <v>1.0246075250623691E-2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8.2803827304307376E-5</v>
      </c>
      <c r="C6" s="449"/>
      <c r="D6" s="892">
        <f>vkm_2011_GW_PW*SUMIFS(TableVerdeelsleutelVkm[CNG],TableVerdeelsleutelVkm[Voertuigtype],"Lichte voertuigen")*SUMIFS(TableECFTransport[EnergieConsumptieFactor (PJ per km)],TableECFTransport[Index],CONCATENATE($A6,"_CNG_CNG"))</f>
        <v>2.4836395683897706E-4</v>
      </c>
      <c r="E6" s="892">
        <f>vkm_2011_GW_PW*SUMIFS(TableVerdeelsleutelVkm[LPG],TableVerdeelsleutelVkm[Voertuigtype],"Lichte voertuigen")*SUMIFS(TableECFTransport[EnergieConsumptieFactor (PJ per km)],TableECFTransport[Index],CONCATENATE($A6,"_LPG_LPG"))</f>
        <v>3.3930084076626245E-4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8.7727643629867041E-2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2.8248542281671337E-2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5.9587713306746776E-3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4.5989131935305426E-2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1.4016552909971792E-5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2.6874497117751351E-3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1.3343119822928937E-5</v>
      </c>
      <c r="C8" s="449"/>
      <c r="D8" s="451">
        <f>vkm_2011_NGW_PW*SUMIFS(TableVerdeelsleutelVkm[CNG],TableVerdeelsleutelVkm[Voertuigtype],"Lichte voertuigen")*SUMIFS(TableECFTransport[EnergieConsumptieFactor (PJ per km)],TableECFTransport[Index],CONCATENATE($A8,"_CNG_CNG"))</f>
        <v>7.115903309706109E-5</v>
      </c>
      <c r="E8" s="451">
        <f>vkm_2011_NGW_PW*SUMIFS(TableVerdeelsleutelVkm[LPG],TableVerdeelsleutelVkm[Voertuigtype],"Lichte voertuigen")*SUMIFS(TableECFTransport[EnergieConsumptieFactor (PJ per km)],TableECFTransport[Index],CONCATENATE($A8,"_LPG_LPG"))</f>
        <v>9.0030695793601978E-5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2.1692456729721286E-2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7.8651299151626299E-3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1.499382473306483E-3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1.7193436167853141E-3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4.9332047503080537E-7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1.0047173486739333E-4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26.7074853131212</v>
      </c>
      <c r="C14" s="21"/>
      <c r="D14" s="21">
        <f t="shared" ref="D14:M14" si="0">((D5)*10^9/3600)+D12</f>
        <v>88.756386093343934</v>
      </c>
      <c r="E14" s="21">
        <f t="shared" si="0"/>
        <v>119.25876015551789</v>
      </c>
      <c r="F14" s="21"/>
      <c r="G14" s="21">
        <f t="shared" si="0"/>
        <v>43646.82664213307</v>
      </c>
      <c r="H14" s="21">
        <f t="shared" si="0"/>
        <v>10035.606130616381</v>
      </c>
      <c r="I14" s="21"/>
      <c r="J14" s="21"/>
      <c r="K14" s="21"/>
      <c r="L14" s="21"/>
      <c r="M14" s="21">
        <f t="shared" si="0"/>
        <v>2846.132014062136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0.21489481800882268</v>
      </c>
      <c r="C16" s="56">
        <f ca="1">'EF ele_warmte'!B22</f>
        <v>0.23607823565441696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5.7393001958364849</v>
      </c>
      <c r="C18" s="23"/>
      <c r="D18" s="23">
        <f t="shared" ref="D18:M18" si="1">D14*D16</f>
        <v>17.928789990855474</v>
      </c>
      <c r="E18" s="23">
        <f t="shared" si="1"/>
        <v>27.071738555302563</v>
      </c>
      <c r="F18" s="23"/>
      <c r="G18" s="23">
        <f t="shared" si="1"/>
        <v>11653.702713449531</v>
      </c>
      <c r="H18" s="23">
        <f t="shared" si="1"/>
        <v>2498.8659265234787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9.0806919509787178E-3</v>
      </c>
      <c r="H50" s="321">
        <f t="shared" si="2"/>
        <v>0</v>
      </c>
      <c r="I50" s="321">
        <f t="shared" si="2"/>
        <v>0</v>
      </c>
      <c r="J50" s="321">
        <f t="shared" si="2"/>
        <v>0</v>
      </c>
      <c r="K50" s="321">
        <f t="shared" si="2"/>
        <v>0</v>
      </c>
      <c r="L50" s="321">
        <f t="shared" si="2"/>
        <v>0</v>
      </c>
      <c r="M50" s="321">
        <f t="shared" si="2"/>
        <v>5.157432154073489E-4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9.0806919509787178E-3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5.157432154073489E-4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2522.4144308274213</v>
      </c>
      <c r="H54" s="21">
        <f t="shared" si="3"/>
        <v>0</v>
      </c>
      <c r="I54" s="21">
        <f t="shared" si="3"/>
        <v>0</v>
      </c>
      <c r="J54" s="21">
        <f t="shared" si="3"/>
        <v>0</v>
      </c>
      <c r="K54" s="21">
        <f t="shared" si="3"/>
        <v>0</v>
      </c>
      <c r="L54" s="21">
        <f t="shared" si="3"/>
        <v>0</v>
      </c>
      <c r="M54" s="21">
        <f t="shared" si="3"/>
        <v>143.26200427981914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0.21489481800882268</v>
      </c>
      <c r="C56" s="56">
        <f ca="1">'EF ele_warmte'!B22</f>
        <v>0.23607823565441696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673.48465303092155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9205.499534620918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19836.45</v>
      </c>
      <c r="C8" s="570">
        <f>B101</f>
        <v>23182.941176470591</v>
      </c>
      <c r="D8" s="1044"/>
      <c r="E8" s="1044">
        <f>E101</f>
        <v>0</v>
      </c>
      <c r="F8" s="1045"/>
      <c r="G8" s="571"/>
      <c r="H8" s="1044">
        <f>I101</f>
        <v>0</v>
      </c>
      <c r="I8" s="1044">
        <f>G101+F101</f>
        <v>0</v>
      </c>
      <c r="J8" s="1044">
        <f>H101+D101+C101</f>
        <v>154.05882352941177</v>
      </c>
      <c r="K8" s="1044"/>
      <c r="L8" s="1044"/>
      <c r="M8" s="1044"/>
      <c r="N8" s="572"/>
      <c r="O8" s="573">
        <f>C8*$C$12+D8*$D$12+E8*$E$12+F8*$F$12+G8*$G$12+H8*$H$12+I8*$I$12+J8*$J$12</f>
        <v>4682.9541176470593</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29041.949534620919</v>
      </c>
      <c r="C10" s="583">
        <f t="shared" ref="C10:L10" si="0">SUM(C8:C9)</f>
        <v>23182.941176470591</v>
      </c>
      <c r="D10" s="583">
        <f t="shared" si="0"/>
        <v>0</v>
      </c>
      <c r="E10" s="583">
        <f t="shared" si="0"/>
        <v>0</v>
      </c>
      <c r="F10" s="583">
        <f t="shared" si="0"/>
        <v>0</v>
      </c>
      <c r="G10" s="583">
        <f t="shared" si="0"/>
        <v>0</v>
      </c>
      <c r="H10" s="583">
        <f t="shared" si="0"/>
        <v>0</v>
      </c>
      <c r="I10" s="583">
        <f t="shared" si="0"/>
        <v>0</v>
      </c>
      <c r="J10" s="583">
        <f t="shared" si="0"/>
        <v>154.05882352941177</v>
      </c>
      <c r="K10" s="583">
        <f t="shared" si="0"/>
        <v>0</v>
      </c>
      <c r="L10" s="583">
        <f t="shared" si="0"/>
        <v>0</v>
      </c>
      <c r="M10" s="1047"/>
      <c r="N10" s="1047"/>
      <c r="O10" s="584">
        <f>SUM(O4:O9)</f>
        <v>4682.9541176470593</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28337.785714285714</v>
      </c>
      <c r="C17" s="595">
        <f>B102</f>
        <v>33118.487394957985</v>
      </c>
      <c r="D17" s="596"/>
      <c r="E17" s="596">
        <f>E102</f>
        <v>0</v>
      </c>
      <c r="F17" s="1050"/>
      <c r="G17" s="597"/>
      <c r="H17" s="595">
        <f>I102</f>
        <v>0</v>
      </c>
      <c r="I17" s="596">
        <f>G102+F102</f>
        <v>0</v>
      </c>
      <c r="J17" s="596">
        <f>H102+D102+C102</f>
        <v>220.08403361344537</v>
      </c>
      <c r="K17" s="596"/>
      <c r="L17" s="596"/>
      <c r="M17" s="596"/>
      <c r="N17" s="1051"/>
      <c r="O17" s="598">
        <f>C17*$C$22+E17*$E$22+H17*$H$22+I17*$I$22+J17*$J$22+D17*$D$22+F17*$F$22+G17*$G$22+K17*$K$22+L17*$L$22</f>
        <v>6689.9344537815132</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28337.785714285714</v>
      </c>
      <c r="C20" s="582">
        <f>SUM(C17:C19)</f>
        <v>33118.487394957985</v>
      </c>
      <c r="D20" s="582">
        <f t="shared" ref="D20:L20" si="1">SUM(D17:D19)</f>
        <v>0</v>
      </c>
      <c r="E20" s="582">
        <f t="shared" si="1"/>
        <v>0</v>
      </c>
      <c r="F20" s="582">
        <f t="shared" si="1"/>
        <v>0</v>
      </c>
      <c r="G20" s="582">
        <f t="shared" si="1"/>
        <v>0</v>
      </c>
      <c r="H20" s="582">
        <f t="shared" si="1"/>
        <v>0</v>
      </c>
      <c r="I20" s="582">
        <f t="shared" si="1"/>
        <v>0</v>
      </c>
      <c r="J20" s="582">
        <f t="shared" si="1"/>
        <v>220.08403361344537</v>
      </c>
      <c r="K20" s="582">
        <f t="shared" si="1"/>
        <v>0</v>
      </c>
      <c r="L20" s="582">
        <f t="shared" si="1"/>
        <v>0</v>
      </c>
      <c r="M20" s="582"/>
      <c r="N20" s="582"/>
      <c r="O20" s="601">
        <f>SUM(O17:O19)</f>
        <v>6689.9344537815132</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13004</v>
      </c>
      <c r="C28" s="796">
        <v>2340</v>
      </c>
      <c r="D28" s="653" t="s">
        <v>881</v>
      </c>
      <c r="E28" s="652" t="s">
        <v>882</v>
      </c>
      <c r="F28" s="652" t="s">
        <v>883</v>
      </c>
      <c r="G28" s="652" t="s">
        <v>884</v>
      </c>
      <c r="H28" s="652" t="s">
        <v>885</v>
      </c>
      <c r="I28" s="652" t="s">
        <v>882</v>
      </c>
      <c r="J28" s="795">
        <v>40149</v>
      </c>
      <c r="K28" s="795">
        <v>40149</v>
      </c>
      <c r="L28" s="652" t="s">
        <v>886</v>
      </c>
      <c r="M28" s="652">
        <v>4309</v>
      </c>
      <c r="N28" s="652">
        <v>19390.5</v>
      </c>
      <c r="O28" s="652">
        <v>27700.714285714286</v>
      </c>
      <c r="P28" s="652">
        <v>55401.428571428572</v>
      </c>
      <c r="Q28" s="652">
        <v>0</v>
      </c>
      <c r="R28" s="652">
        <v>0</v>
      </c>
      <c r="S28" s="652">
        <v>0</v>
      </c>
      <c r="T28" s="652">
        <v>0</v>
      </c>
      <c r="U28" s="652">
        <v>0</v>
      </c>
      <c r="V28" s="652">
        <v>0</v>
      </c>
      <c r="W28" s="652">
        <v>0</v>
      </c>
      <c r="X28" s="652">
        <v>10</v>
      </c>
      <c r="Y28" s="652" t="s">
        <v>112</v>
      </c>
      <c r="Z28" s="654" t="s">
        <v>112</v>
      </c>
    </row>
    <row r="29" spans="1:26" s="606" customFormat="1" ht="25.5">
      <c r="A29" s="605"/>
      <c r="B29" s="796">
        <v>13004</v>
      </c>
      <c r="C29" s="796">
        <v>2340</v>
      </c>
      <c r="D29" s="653" t="s">
        <v>887</v>
      </c>
      <c r="E29" s="652" t="s">
        <v>888</v>
      </c>
      <c r="F29" s="652" t="s">
        <v>889</v>
      </c>
      <c r="G29" s="652" t="s">
        <v>884</v>
      </c>
      <c r="H29" s="652" t="s">
        <v>885</v>
      </c>
      <c r="I29" s="652" t="s">
        <v>890</v>
      </c>
      <c r="J29" s="795">
        <v>41165</v>
      </c>
      <c r="K29" s="795">
        <v>41275</v>
      </c>
      <c r="L29" s="652" t="s">
        <v>886</v>
      </c>
      <c r="M29" s="652">
        <v>9.6999999999999993</v>
      </c>
      <c r="N29" s="652">
        <v>43.649999999999991</v>
      </c>
      <c r="O29" s="652">
        <v>62.357142857142847</v>
      </c>
      <c r="P29" s="652">
        <v>0</v>
      </c>
      <c r="Q29" s="652">
        <v>124.71428571428569</v>
      </c>
      <c r="R29" s="652">
        <v>0</v>
      </c>
      <c r="S29" s="652">
        <v>0</v>
      </c>
      <c r="T29" s="652">
        <v>0</v>
      </c>
      <c r="U29" s="652">
        <v>0</v>
      </c>
      <c r="V29" s="652">
        <v>0</v>
      </c>
      <c r="W29" s="652">
        <v>0</v>
      </c>
      <c r="X29" s="652">
        <v>10</v>
      </c>
      <c r="Y29" s="652" t="s">
        <v>112</v>
      </c>
      <c r="Z29" s="654" t="s">
        <v>112</v>
      </c>
    </row>
    <row r="30" spans="1:26" s="606" customFormat="1" ht="25.5">
      <c r="A30" s="605"/>
      <c r="B30" s="796">
        <v>13004</v>
      </c>
      <c r="C30" s="796">
        <v>2340</v>
      </c>
      <c r="D30" s="653" t="s">
        <v>887</v>
      </c>
      <c r="E30" s="652" t="s">
        <v>888</v>
      </c>
      <c r="F30" s="652" t="s">
        <v>891</v>
      </c>
      <c r="G30" s="652" t="s">
        <v>884</v>
      </c>
      <c r="H30" s="652" t="s">
        <v>885</v>
      </c>
      <c r="I30" s="652" t="s">
        <v>892</v>
      </c>
      <c r="J30" s="795">
        <v>41236</v>
      </c>
      <c r="K30" s="795">
        <v>41275</v>
      </c>
      <c r="L30" s="652" t="s">
        <v>886</v>
      </c>
      <c r="M30" s="652">
        <v>19.399999999999999</v>
      </c>
      <c r="N30" s="652">
        <v>87.299999999999983</v>
      </c>
      <c r="O30" s="652">
        <v>124.71428571428569</v>
      </c>
      <c r="P30" s="652">
        <v>0</v>
      </c>
      <c r="Q30" s="652">
        <v>249.42857142857139</v>
      </c>
      <c r="R30" s="652">
        <v>0</v>
      </c>
      <c r="S30" s="652">
        <v>0</v>
      </c>
      <c r="T30" s="652">
        <v>0</v>
      </c>
      <c r="U30" s="652">
        <v>0</v>
      </c>
      <c r="V30" s="652">
        <v>0</v>
      </c>
      <c r="W30" s="652">
        <v>0</v>
      </c>
      <c r="X30" s="652">
        <v>10</v>
      </c>
      <c r="Y30" s="652" t="s">
        <v>112</v>
      </c>
      <c r="Z30" s="654" t="s">
        <v>112</v>
      </c>
    </row>
    <row r="31" spans="1:26" s="606" customFormat="1" ht="63.75">
      <c r="A31" s="605"/>
      <c r="B31" s="796">
        <v>13004</v>
      </c>
      <c r="C31" s="796">
        <v>2340</v>
      </c>
      <c r="D31" s="653" t="s">
        <v>893</v>
      </c>
      <c r="E31" s="652" t="s">
        <v>894</v>
      </c>
      <c r="F31" s="652" t="s">
        <v>895</v>
      </c>
      <c r="G31" s="652" t="s">
        <v>884</v>
      </c>
      <c r="H31" s="652" t="s">
        <v>885</v>
      </c>
      <c r="I31" s="652" t="s">
        <v>894</v>
      </c>
      <c r="J31" s="795">
        <v>41397</v>
      </c>
      <c r="K31" s="795">
        <v>41375</v>
      </c>
      <c r="L31" s="652" t="s">
        <v>886</v>
      </c>
      <c r="M31" s="652">
        <v>70</v>
      </c>
      <c r="N31" s="652">
        <v>315.00000000000006</v>
      </c>
      <c r="O31" s="652">
        <v>450.00000000000011</v>
      </c>
      <c r="P31" s="652">
        <v>900.00000000000023</v>
      </c>
      <c r="Q31" s="652">
        <v>0</v>
      </c>
      <c r="R31" s="652">
        <v>0</v>
      </c>
      <c r="S31" s="652">
        <v>0</v>
      </c>
      <c r="T31" s="652">
        <v>0</v>
      </c>
      <c r="U31" s="652">
        <v>0</v>
      </c>
      <c r="V31" s="652">
        <v>0</v>
      </c>
      <c r="W31" s="652">
        <v>0</v>
      </c>
      <c r="X31" s="652">
        <v>1600</v>
      </c>
      <c r="Y31" s="652" t="s">
        <v>50</v>
      </c>
      <c r="Z31" s="654" t="s">
        <v>156</v>
      </c>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4408.0999999999995</v>
      </c>
      <c r="N58" s="610">
        <f>SUM(N28:N57)</f>
        <v>19836.45</v>
      </c>
      <c r="O58" s="610">
        <f t="shared" ref="O58:W58" si="2">SUM(O28:O57)</f>
        <v>28337.785714285714</v>
      </c>
      <c r="P58" s="610">
        <f t="shared" si="2"/>
        <v>56301.428571428572</v>
      </c>
      <c r="Q58" s="610">
        <f t="shared" si="2"/>
        <v>374.14285714285711</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70</v>
      </c>
      <c r="N60" s="610">
        <f ca="1">SUMIF($Z$28:AD57,"tertiair",N28:N57)</f>
        <v>315.00000000000006</v>
      </c>
      <c r="O60" s="610">
        <f ca="1">SUMIF($Z$28:AE57,"tertiair",O28:O57)</f>
        <v>450.00000000000011</v>
      </c>
      <c r="P60" s="610">
        <f ca="1">SUMIF($Z$28:AF57,"tertiair",P28:P57)</f>
        <v>900.00000000000023</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4338.0999999999995</v>
      </c>
      <c r="N61" s="615">
        <f t="shared" si="4"/>
        <v>19521.45</v>
      </c>
      <c r="O61" s="615">
        <f t="shared" si="4"/>
        <v>27887.785714285714</v>
      </c>
      <c r="P61" s="615">
        <f t="shared" si="4"/>
        <v>55401.428571428572</v>
      </c>
      <c r="Q61" s="615">
        <f t="shared" si="4"/>
        <v>374.14285714285711</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23182.941176470591</v>
      </c>
      <c r="C101" s="644">
        <f t="shared" si="9"/>
        <v>154.05882352941177</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33118.487394957985</v>
      </c>
      <c r="C102" s="647">
        <f t="shared" si="10"/>
        <v>220.08403361344537</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2019-08-12T08:31:43Z</dcterms:modified>
</cp:coreProperties>
</file>