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G89" i="14" s="1"/>
  <c r="G19" i="61" s="1"/>
  <c r="E19" i="18"/>
  <c r="F89" i="14" s="1"/>
  <c r="F19" i="61" s="1"/>
  <c r="D19" i="18"/>
  <c r="C19"/>
  <c r="B19"/>
  <c r="N18"/>
  <c r="L88" i="14" s="1"/>
  <c r="M18" i="18"/>
  <c r="K88" i="14" s="1"/>
  <c r="K18" i="61"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E9"/>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H88" i="14"/>
  <c r="H18" i="61" s="1"/>
  <c r="D20" i="18"/>
  <c r="D88" i="14"/>
  <c r="D18" i="61" s="1"/>
  <c r="B17" i="18"/>
  <c r="B20" s="1"/>
  <c r="G12"/>
  <c r="F12"/>
  <c r="E12"/>
  <c r="D12"/>
  <c r="C12"/>
  <c r="L10"/>
  <c r="K10"/>
  <c r="E77" i="14"/>
  <c r="E9" i="61" s="1"/>
  <c r="B8" i="18"/>
  <c r="B6"/>
  <c r="B5"/>
  <c r="B73" i="14" s="1"/>
  <c r="B5" i="61" s="1"/>
  <c r="B4" i="18"/>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Q22" s="1"/>
  <c r="P19"/>
  <c r="P22" s="1"/>
  <c r="O19"/>
  <c r="O22" s="1"/>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K90"/>
  <c r="R78"/>
  <c r="L56"/>
  <c r="J56"/>
  <c r="I56"/>
  <c r="P52"/>
  <c r="R44"/>
  <c r="Q26"/>
  <c r="N26"/>
  <c r="J26"/>
  <c r="E25"/>
  <c r="C25"/>
  <c r="B14" i="48" s="1"/>
  <c r="Q14" s="1"/>
  <c r="H26" i="14"/>
  <c r="R12"/>
  <c r="D5" i="17"/>
  <c r="K78" i="14" l="1"/>
  <c r="K8" i="61"/>
  <c r="K10" s="1"/>
  <c r="N78" i="14"/>
  <c r="N9" i="61"/>
  <c r="N10" s="1"/>
  <c r="E90" i="14"/>
  <c r="E18" i="61"/>
  <c r="E20" s="1"/>
  <c r="L90" i="14"/>
  <c r="L18" i="61"/>
  <c r="L78" i="14"/>
  <c r="L8" i="61"/>
  <c r="L10" s="1"/>
  <c r="B10" i="18"/>
  <c r="M77" i="14"/>
  <c r="M9" i="61" s="1"/>
  <c r="H9" i="18"/>
  <c r="L20" i="61"/>
  <c r="P31" i="48"/>
  <c r="J22" i="14"/>
  <c r="G77"/>
  <c r="G9" i="61" s="1"/>
  <c r="G10" s="1"/>
  <c r="H20"/>
  <c r="P25" i="48"/>
  <c r="I77" i="14"/>
  <c r="I9" i="61" s="1"/>
  <c r="O9" i="18"/>
  <c r="O10" i="61"/>
  <c r="G20"/>
  <c r="K20"/>
  <c r="Q11" i="48"/>
  <c r="O25"/>
  <c r="O32"/>
  <c r="C98" i="18"/>
  <c r="G101" s="1"/>
  <c r="I8" s="1"/>
  <c r="D13" i="15"/>
  <c r="B72" i="14"/>
  <c r="B4" i="61" s="1"/>
  <c r="O30" i="48"/>
  <c r="C13" i="15"/>
  <c r="L13"/>
  <c r="B13"/>
  <c r="H90" i="14"/>
  <c r="N13" i="15"/>
  <c r="F77" i="14"/>
  <c r="F9" i="61" s="1"/>
  <c r="F101" i="18"/>
  <c r="H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D101" i="18"/>
  <c r="C101"/>
  <c r="B101"/>
  <c r="C8" s="1"/>
  <c r="I101"/>
  <c r="H8" s="1"/>
  <c r="H10" s="1"/>
  <c r="E101"/>
  <c r="E8" s="1"/>
  <c r="E10" s="1"/>
  <c r="B88" i="14"/>
  <c r="B18" i="61" s="1"/>
  <c r="B77" i="14"/>
  <c r="B9" i="61" s="1"/>
  <c r="Q77" i="14"/>
  <c r="P9" i="61" s="1"/>
  <c r="J17" i="18"/>
  <c r="H20"/>
  <c r="M87" i="14"/>
  <c r="J8" i="18"/>
  <c r="E20"/>
  <c r="F87" i="14"/>
  <c r="C77"/>
  <c r="C9" i="61" s="1"/>
  <c r="C20" i="18"/>
  <c r="D87" i="14"/>
  <c r="D17" i="61" s="1"/>
  <c r="D20" s="1"/>
  <c r="D76" i="14"/>
  <c r="D8" i="61" s="1"/>
  <c r="D10" s="1"/>
  <c r="C10" i="18"/>
  <c r="C88" i="14"/>
  <c r="C18" i="61" s="1"/>
  <c r="I17" i="18"/>
  <c r="I10"/>
  <c r="I76" i="14"/>
  <c r="I8" i="61" s="1"/>
  <c r="I10" s="1"/>
  <c r="Q88" i="14"/>
  <c r="P18" i="61" s="1"/>
  <c r="AC15" i="5"/>
  <c r="M90" i="14" l="1"/>
  <c r="M17" i="61"/>
  <c r="M20" s="1"/>
  <c r="F90" i="14"/>
  <c r="F17" i="61"/>
  <c r="F20" s="1"/>
  <c r="O8" i="18"/>
  <c r="O10" s="1"/>
  <c r="M76" i="14"/>
  <c r="F76"/>
  <c r="I78"/>
  <c r="Q76"/>
  <c r="D78"/>
  <c r="J87"/>
  <c r="J20" i="18"/>
  <c r="I87" i="14"/>
  <c r="I17" i="61" s="1"/>
  <c r="I20" s="1"/>
  <c r="I20" i="18"/>
  <c r="O17"/>
  <c r="O20" s="1"/>
  <c r="Q87" i="14"/>
  <c r="D90"/>
  <c r="J10" i="18"/>
  <c r="J76" i="14"/>
  <c r="D5" i="13"/>
  <c r="Q78" i="14" l="1"/>
  <c r="B9" i="6" s="1"/>
  <c r="P8" i="61"/>
  <c r="P10" s="1"/>
  <c r="J78" i="14"/>
  <c r="J8" i="61"/>
  <c r="J10" s="1"/>
  <c r="J90" i="14"/>
  <c r="J17" i="61"/>
  <c r="J20" s="1"/>
  <c r="M78" i="14"/>
  <c r="M8" i="61"/>
  <c r="M10" s="1"/>
  <c r="F78" i="14"/>
  <c r="F8" i="61"/>
  <c r="F10" s="1"/>
  <c r="Q90" i="14"/>
  <c r="B17" i="6" s="1"/>
  <c r="P17" i="61"/>
  <c r="P20" s="1"/>
  <c r="I90" i="14"/>
  <c r="B87"/>
  <c r="C87"/>
  <c r="C76"/>
  <c r="B76"/>
  <c r="B26" i="17"/>
  <c r="B90" i="14" l="1"/>
  <c r="B17" i="61"/>
  <c r="B20" s="1"/>
  <c r="C90" i="14"/>
  <c r="C17" i="61"/>
  <c r="C20" s="1"/>
  <c r="C78" i="14"/>
  <c r="C8" i="61"/>
  <c r="C1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32"/>
  <c r="H28"/>
  <c r="H22"/>
  <c r="H25"/>
  <c r="H30"/>
  <c r="H26"/>
  <c r="H24"/>
  <c r="H23"/>
  <c r="D11" i="14"/>
  <c r="C4" i="48"/>
  <c r="G23"/>
  <c r="G22"/>
  <c r="G30"/>
  <c r="G32"/>
  <c r="G24"/>
  <c r="G25"/>
  <c r="G26"/>
  <c r="G29"/>
  <c r="B4"/>
  <c r="C11" i="14"/>
  <c r="F30" i="48"/>
  <c r="F32"/>
  <c r="F24"/>
  <c r="F29"/>
  <c r="F28"/>
  <c r="F31"/>
  <c r="F27"/>
  <c r="N32"/>
  <c r="N24"/>
  <c r="N27"/>
  <c r="N31"/>
  <c r="N30"/>
  <c r="N28"/>
  <c r="N29"/>
  <c r="B10"/>
  <c r="C19" i="14"/>
  <c r="E31" i="48"/>
  <c r="E32"/>
  <c r="E29"/>
  <c r="E24"/>
  <c r="E30"/>
  <c r="E28"/>
  <c r="M29"/>
  <c r="M25"/>
  <c r="M22"/>
  <c r="M26"/>
  <c r="M24"/>
  <c r="M30"/>
  <c r="M32"/>
  <c r="M23"/>
  <c r="L10" i="14"/>
  <c r="L16" s="1"/>
  <c r="L27" s="1"/>
  <c r="K5" i="48"/>
  <c r="D30"/>
  <c r="D28"/>
  <c r="D24"/>
  <c r="D29"/>
  <c r="D31"/>
  <c r="D32"/>
  <c r="L29"/>
  <c r="L32"/>
  <c r="L27"/>
  <c r="L22"/>
  <c r="L30"/>
  <c r="L28"/>
  <c r="L31"/>
  <c r="L24"/>
  <c r="P5"/>
  <c r="P23" s="1"/>
  <c r="Q10" i="14"/>
  <c r="K32" i="48"/>
  <c r="K24"/>
  <c r="K31"/>
  <c r="K22"/>
  <c r="K30"/>
  <c r="K25"/>
  <c r="K26"/>
  <c r="K28"/>
  <c r="K29"/>
  <c r="K27"/>
  <c r="B7"/>
  <c r="C24" i="14"/>
  <c r="C26" s="1"/>
  <c r="J24" i="48"/>
  <c r="J31"/>
  <c r="J29"/>
  <c r="J30"/>
  <c r="J32"/>
  <c r="J28"/>
  <c r="J27"/>
  <c r="P4"/>
  <c r="Q11" i="14"/>
  <c r="O4" i="48"/>
  <c r="P11" i="14"/>
  <c r="I29" i="48"/>
  <c r="I27"/>
  <c r="I31"/>
  <c r="I25"/>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P8" i="48"/>
  <c r="P26" s="1"/>
  <c r="Q13" i="14"/>
  <c r="O22" i="48"/>
  <c r="D9"/>
  <c r="D27" s="1"/>
  <c r="E20" i="14"/>
  <c r="E22" s="1"/>
  <c r="O5" i="48"/>
  <c r="O23" s="1"/>
  <c r="P10" i="14"/>
  <c r="B9" i="48"/>
  <c r="C20" i="14"/>
  <c r="K24"/>
  <c r="K26" s="1"/>
  <c r="J7" i="48"/>
  <c r="J25" s="1"/>
  <c r="K23"/>
  <c r="K33" s="1"/>
  <c r="K15"/>
  <c r="C22" i="14"/>
  <c r="G11"/>
  <c r="F4" i="48"/>
  <c r="F22" s="1"/>
  <c r="J10" i="14"/>
  <c r="J16" s="1"/>
  <c r="J27" s="1"/>
  <c r="J63" s="1"/>
  <c r="I5" i="48"/>
  <c r="L46" i="14"/>
  <c r="L61" s="1"/>
  <c r="L63" s="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F11" l="1"/>
  <c r="R11" s="1"/>
  <c r="E4" i="48"/>
  <c r="P13" i="14"/>
  <c r="P16" s="1"/>
  <c r="P27" s="1"/>
  <c r="O8" i="48"/>
  <c r="J4"/>
  <c r="K11" i="14"/>
  <c r="O11"/>
  <c r="N4" i="48"/>
  <c r="N22" s="1"/>
  <c r="I23"/>
  <c r="I33" s="1"/>
  <c r="I15"/>
  <c r="N19" i="14"/>
  <c r="N22" s="1"/>
  <c r="N27" s="1"/>
  <c r="M10" i="48"/>
  <c r="M28" s="1"/>
  <c r="G10"/>
  <c r="H19" i="14"/>
  <c r="E7" i="48"/>
  <c r="E25" s="1"/>
  <c r="F24" i="14"/>
  <c r="F26" s="1"/>
  <c r="M14" i="22"/>
  <c r="M18" s="1"/>
  <c r="N50" i="14" s="1"/>
  <c r="N52" s="1"/>
  <c r="N61" s="1"/>
  <c r="H14" i="22"/>
  <c r="H9" i="48" s="1"/>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K10" l="1"/>
  <c r="J5" i="48"/>
  <c r="J23" s="1"/>
  <c r="E5"/>
  <c r="E23" s="1"/>
  <c r="F10" i="14"/>
  <c r="E22" i="48"/>
  <c r="Q4"/>
  <c r="O26"/>
  <c r="O33" s="1"/>
  <c r="O15"/>
  <c r="G28"/>
  <c r="Q10"/>
  <c r="J22"/>
  <c r="R19" i="14"/>
  <c r="G9" i="48"/>
  <c r="H20" i="14"/>
  <c r="H22" s="1"/>
  <c r="H27" s="1"/>
  <c r="Q7" i="48"/>
  <c r="I20" i="14"/>
  <c r="I22" s="1"/>
  <c r="I27" s="1"/>
  <c r="J20" i="15"/>
  <c r="K40" i="14" s="1"/>
  <c r="M15" i="48"/>
  <c r="M27"/>
  <c r="M33" s="1"/>
  <c r="Q9"/>
  <c r="H15"/>
  <c r="H27"/>
  <c r="H33" s="1"/>
  <c r="N63" i="14"/>
  <c r="R24"/>
  <c r="R26" s="1"/>
  <c r="N18" i="16"/>
  <c r="E20" i="15"/>
  <c r="F40" i="14" s="1"/>
  <c r="F18" i="16"/>
  <c r="J18"/>
  <c r="E18"/>
  <c r="G18" i="22"/>
  <c r="H50" i="14" s="1"/>
  <c r="H52" s="1"/>
  <c r="H61" s="1"/>
  <c r="H18" i="22"/>
  <c r="I50" i="14" s="1"/>
  <c r="I52" s="1"/>
  <c r="I61" s="1"/>
  <c r="K13" l="1"/>
  <c r="K16" s="1"/>
  <c r="K27" s="1"/>
  <c r="J8" i="48"/>
  <c r="J26" s="1"/>
  <c r="J33" s="1"/>
  <c r="E8"/>
  <c r="E26" s="1"/>
  <c r="E33" s="1"/>
  <c r="F13" i="14"/>
  <c r="F16" s="1"/>
  <c r="F27" s="1"/>
  <c r="F63" s="1"/>
  <c r="G27" i="48"/>
  <c r="G33" s="1"/>
  <c r="G15"/>
  <c r="H63" i="14"/>
  <c r="I63"/>
  <c r="R20"/>
  <c r="R22" s="1"/>
  <c r="F46"/>
  <c r="F61" s="1"/>
  <c r="N8" i="48"/>
  <c r="N26" s="1"/>
  <c r="O13" i="14"/>
  <c r="F8" i="48"/>
  <c r="G13" i="14"/>
  <c r="E22" i="16"/>
  <c r="F43" i="14" s="1"/>
  <c r="F22" i="16"/>
  <c r="G43" i="14" s="1"/>
  <c r="N22" i="16"/>
  <c r="O43" i="14" s="1"/>
  <c r="J22" i="16"/>
  <c r="K43" i="14" s="1"/>
  <c r="K46" s="1"/>
  <c r="K61" s="1"/>
  <c r="K63" l="1"/>
  <c r="R13"/>
  <c r="J15" i="48"/>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<sst xmlns="http://schemas.openxmlformats.org/spreadsheetml/2006/main" count="2383" uniqueCount="881">
  <si>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</si>
  <si>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</si>
  <si>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</si>
  <si>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</si>
  <si>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</si>
  <si>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</si>
  <si>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</si>
  <si>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</si>
  <si>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</si>
  <si>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</si>
  <si>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</si>
  <si>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</si>
  <si>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</si>
  <si>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</si>
  <si>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</si>
  <si>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</si>
  <si>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</si>
  <si>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</si>
  <si>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</si>
  <si>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</si>
  <si>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</si>
  <si>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</si>
  <si>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</si>
  <si>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</si>
  <si>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</si>
  <si>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</si>
  <si>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</si>
  <si>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</si>
  <si>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</si>
  <si>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</si>
  <si>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</si>
  <si>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</si>
  <si>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</si>
  <si>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</si>
  <si>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</si>
  <si>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</si>
  <si>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</si>
  <si>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</si>
  <si>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</si>
  <si>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</si>
  <si>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</si>
  <si>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</si>
  <si>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</si>
  <si>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</si>
  <si>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</si>
  <si>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</si>
  <si>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</si>
  <si>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</si>
  <si>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</si>
  <si>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</si>
  <si>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</si>
  <si>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</si>
  <si>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</si>
  <si>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</si>
  <si>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</si>
  <si>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</si>
  <si>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</si>
  <si>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</si>
  <si>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</si>
  <si>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</si>
  <si>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</si>
  <si>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</si>
  <si>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</si>
  <si>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</si>
  <si>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</si>
  <si>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</si>
  <si>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</si>
  <si>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</si>
  <si>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</si>
  <si>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</si>
  <si>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</si>
  <si>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</si>
  <si>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</si>
  <si>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</si>
  <si>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</si>
  <si>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</si>
  <si>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</si>
  <si>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</si>
  <si>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</si>
  <si>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</si>
  <si>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</si>
  <si>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</si>
  <si>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</si>
  <si>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</si>
  <si>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</si>
  <si>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</si>
  <si>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</si>
  <si>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</si>
  <si>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</si>
  <si>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</si>
  <si>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</si>
  <si>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</si>
  <si>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</si>
  <si>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</si>
  <si>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</si>
  <si>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</si>
  <si>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</si>
  <si>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</si>
  <si>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</si>
  <si>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</si>
  <si>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</si>
  <si>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</si>
  <si>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</si>
  <si>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</si>
  <si>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</si>
  <si>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</si>
  <si>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</si>
  <si>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</si>
  <si>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</si>
  <si>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</si>
  <si>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</si>
  <si>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</si>
  <si>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</si>
  <si>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</si>
  <si>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</si>
  <si>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</si>
  <si>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</si>
  <si>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</si>
  <si>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</si>
  <si>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</si>
  <si>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</si>
  <si>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</si>
  <si>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</si>
  <si>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</si>
  <si>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</si>
  <si>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</si>
  <si>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</si>
  <si>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</si>
  <si>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</si>
  <si>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</si>
  <si>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</si>
  <si>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</si>
  <si>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</si>
  <si>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</si>
  <si>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</si>
  <si>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</si>
  <si>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</si>
  <si>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</si>
  <si>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</si>
  <si>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</si>
  <si>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</si>
  <si>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</si>
  <si>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</si>
  <si>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</si>
  <si>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</si>
  <si>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</si>
  <si>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</si>
  <si>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</si>
  <si>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</si>
  <si>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</si>
  <si>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</si>
  <si>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</si>
  <si>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</si>
  <si>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</si>
  <si>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</si>
  <si>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</si>
  <si>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</si>
  <si>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</si>
  <si>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</si>
  <si>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</si>
  <si>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</si>
  <si>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</si>
  <si>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</si>
  <si>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</si>
  <si>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</si>
  <si>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</si>
  <si>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</si>
  <si>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</si>
  <si>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</si>
  <si>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</si>
  <si>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</si>
  <si>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</si>
  <si>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</si>
  <si>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</si>
  <si>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</si>
  <si>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</si>
  <si>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</si>
  <si>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</si>
  <si>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</si>
  <si>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</si>
  <si>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</si>
  <si>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</si>
  <si>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</si>
  <si>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</si>
  <si>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</si>
  <si>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</si>
  <si>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</si>
  <si>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</si>
  <si>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</si>
  <si>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</si>
  <si>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</si>
  <si>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</si>
  <si>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</si>
  <si>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</si>
  <si>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</si>
  <si>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</si>
  <si>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</si>
  <si>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</si>
  <si>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</si>
  <si>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</si>
  <si>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</si>
  <si>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</si>
  <si>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</si>
  <si>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</si>
  <si>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</si>
  <si>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</si>
  <si>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</si>
  <si>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</si>
  <si>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</si>
  <si>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</si>
  <si>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</si>
  <si>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</si>
  <si>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</si>
  <si>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</si>
  <si>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</si>
  <si>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</si>
  <si>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</si>
  <si>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</si>
  <si>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</si>
  <si>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</si>
  <si>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</si>
  <si>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</si>
  <si>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</si>
  <si>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</si>
  <si>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</si>
  <si>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</si>
  <si>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</si>
  <si>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</si>
  <si>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</si>
  <si>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</si>
  <si>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</si>
  <si>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</si>
  <si>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</si>
  <si>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</si>
  <si>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</si>
  <si>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</si>
  <si>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</si>
  <si>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</si>
  <si>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</si>
  <si>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</si>
  <si>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</si>
  <si>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</si>
  <si>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</si>
  <si>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</si>
  <si>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</si>
  <si>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</si>
  <si>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</si>
  <si>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</si>
  <si>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</si>
  <si>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</si>
  <si>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</si>
  <si>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</si>
  <si>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</si>
  <si>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</si>
  <si>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</si>
  <si>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</si>
  <si>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</si>
  <si>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</si>
  <si>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</si>
  <si>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</si>
  <si>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</si>
  <si>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</si>
  <si>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</si>
  <si>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</si>
  <si>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</si>
  <si>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</si>
  <si>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</si>
  <si>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</si>
  <si>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</si>
  <si>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</si>
  <si>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</si>
  <si>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</si>
  <si>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</si>
  <si>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</si>
  <si>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</si>
  <si>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</si>
  <si>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</si>
  <si>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</si>
  <si>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</si>
  <si>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</si>
  <si>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</si>
  <si>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</si>
  <si>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</si>
  <si>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</si>
  <si>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</si>
  <si>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</si>
  <si>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</si>
  <si>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</si>
  <si>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</si>
  <si>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</si>
  <si>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</si>
  <si>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</si>
  <si>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</si>
  <si>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</si>
  <si>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</si>
  <si>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</si>
  <si>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</si>
  <si>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</si>
  <si>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</si>
  <si>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</si>
  <si>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</si>
  <si>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</si>
  <si>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</si>
  <si>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</si>
  <si>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</si>
  <si>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</si>
  <si>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</si>
  <si>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</si>
  <si>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</si>
  <si>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</si>
  <si>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</si>
  <si>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</si>
  <si>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</si>
  <si>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</si>
  <si>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</si>
  <si>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</si>
  <si>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</si>
  <si>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</si>
  <si>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</si>
  <si>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</si>
  <si>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</si>
  <si>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</si>
  <si>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</si>
  <si>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</si>
  <si>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</si>
  <si>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</si>
  <si>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</si>
  <si>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</si>
  <si>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</si>
  <si>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</si>
  <si>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</si>
  <si>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</si>
  <si>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</si>
  <si>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</si>
  <si>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</si>
  <si>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</si>
  <si>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</si>
  <si>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</si>
  <si>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</si>
  <si>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</si>
  <si>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</si>
  <si>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</si>
  <si>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</si>
  <si>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</si>
  <si>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</si>
  <si>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</si>
  <si>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</si>
  <si>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</si>
  <si>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</si>
  <si>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</si>
  <si>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</si>
  <si>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</si>
  <si>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</si>
  <si>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</si>
  <si>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</si>
  <si>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</si>
  <si>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</si>
  <si>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</si>
  <si>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</si>
  <si>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</si>
  <si>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</si>
  <si>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</si>
  <si>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</si>
  <si>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</si>
  <si>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</si>
  <si>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</si>
  <si>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</si>
  <si>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</si>
  <si>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</si>
  <si>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</si>
  <si>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</si>
  <si>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</si>
  <si>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</si>
  <si>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</si>
  <si>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</si>
  <si>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</si>
  <si>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</si>
  <si>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</si>
  <si>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</si>
  <si>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</si>
  <si>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</si>
  <si>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</si>
  <si>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</si>
  <si>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</si>
  <si>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</si>
  <si>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</si>
  <si>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</si>
  <si>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</si>
  <si>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</si>
  <si>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</si>
  <si>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</si>
  <si>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</si>
  <si>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</si>
  <si>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</si>
  <si>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</si>
  <si>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</si>
  <si>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</si>
  <si>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</si>
  <si>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</si>
  <si>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</si>
  <si>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</si>
  <si>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</si>
  <si>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</si>
  <si>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</si>
  <si>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</si>
  <si>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</si>
  <si>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</si>
  <si>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</si>
  <si>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</si>
  <si>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</si>
  <si>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</si>
  <si>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</si>
  <si>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</si>
  <si>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</si>
  <si>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</si>
  <si>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</si>
  <si>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</si>
  <si>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</si>
  <si>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</si>
  <si>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</si>
  <si>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</si>
  <si>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</si>
  <si>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</si>
  <si>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</si>
  <si>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</si>
  <si>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</si>
  <si>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</si>
  <si>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</si>
  <si>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</si>
  <si>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</si>
  <si>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</si>
  <si>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</si>
  <si>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</si>
  <si>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</si>
  <si>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</si>
  <si>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</si>
  <si>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</si>
  <si>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</si>
  <si>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</si>
  <si>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</si>
  <si>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</si>
  <si>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</si>
  <si>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</si>
  <si>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</si>
  <si>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</si>
  <si>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</si>
  <si>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</si>
  <si>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</si>
  <si>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</si>
  <si>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</si>
  <si>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</si>
  <si>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</si>
  <si>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</si>
  <si>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</si>
  <si>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</si>
  <si>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</si>
  <si>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</si>
  <si>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</si>
  <si>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</si>
  <si>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</si>
  <si>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</si>
  <si>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</si>
  <si>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</si>
  <si>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</si>
  <si>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</si>
  <si>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</si>
  <si>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</si>
  <si>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</si>
  <si>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</si>
  <si>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</si>
  <si>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</si>
  <si>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</si>
  <si>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</si>
  <si>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</si>
  <si>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</si>
  <si>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</si>
  <si>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</si>
  <si>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</si>
  <si>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</si>
  <si>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</si>
  <si>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</si>
  <si>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</si>
  <si>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</si>
  <si>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</si>
  <si>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</si>
  <si>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</si>
  <si>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</si>
  <si>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</si>
  <si>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</si>
  <si>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</si>
  <si>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</si>
  <si>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</si>
  <si>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</si>
  <si>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</si>
  <si>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</si>
  <si>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</si>
  <si>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</si>
  <si>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</si>
  <si>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</si>
  <si>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</si>
  <si>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</si>
  <si>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</si>
  <si>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</si>
  <si>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</si>
  <si>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</si>
  <si>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</si>
  <si>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</si>
  <si>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</si>
  <si>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</si>
  <si>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</si>
  <si>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</si>
  <si>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</si>
  <si>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</si>
  <si>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</si>
  <si>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</si>
  <si>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</si>
  <si>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</si>
  <si>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</si>
  <si>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</si>
  <si>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</si>
  <si>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</si>
  <si>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</si>
  <si>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</si>
  <si>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</si>
  <si>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</si>
  <si>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</si>
  <si>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</si>
  <si>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</si>
  <si>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</si>
  <si>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</si>
  <si>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</si>
  <si>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</si>
  <si>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</si>
  <si>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</si>
  <si>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</si>
  <si>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</si>
  <si>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</si>
  <si>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</si>
  <si>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</si>
  <si>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</si>
  <si>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</si>
  <si>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</si>
  <si>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</si>
  <si>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</si>
  <si>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</si>
  <si>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</si>
  <si>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</si>
  <si>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</si>
  <si>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</si>
  <si>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</si>
  <si>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</si>
  <si>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</si>
  <si>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</si>
  <si>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</si>
  <si>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</si>
  <si>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</si>
  <si>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</si>
  <si>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</si>
  <si>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</si>
  <si>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</si>
  <si>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</si>
  <si>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</si>
  <si>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</si>
  <si>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</si>
  <si>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</si>
  <si>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</si>
  <si>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</si>
  <si>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</si>
  <si>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</si>
  <si>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</si>
  <si>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</si>
  <si>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</si>
  <si>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</si>
  <si>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</si>
  <si>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</si>
  <si>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</si>
  <si>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</si>
  <si>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</si>
  <si>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</si>
  <si>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</si>
  <si>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</si>
  <si>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</si>
  <si>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</si>
  <si>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</si>
  <si>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</si>
  <si>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</si>
  <si>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</si>
  <si>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</si>
  <si>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</si>
  <si>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</si>
  <si>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</si>
  <si>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</si>
  <si>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</si>
  <si>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</si>
  <si>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</si>
  <si>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</si>
  <si>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</si>
  <si>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</si>
  <si>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</si>
  <si>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</si>
  <si>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</si>
  <si>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</si>
  <si>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</si>
  <si>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</si>
  <si>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</si>
  <si>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</si>
  <si>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</si>
  <si>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</si>
  <si>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</si>
  <si>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</si>
  <si>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</si>
  <si>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</si>
  <si>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</si>
  <si>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</si>
  <si>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</si>
  <si>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</si>
  <si>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</si>
  <si>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</si>
  <si>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</si>
  <si>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</si>
  <si>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</si>
  <si>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</si>
  <si>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</si>
  <si>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</si>
  <si>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</si>
  <si>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</si>
  <si>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</si>
  <si>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</si>
  <si>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</si>
  <si>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</si>
  <si>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</si>
  <si>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</si>
  <si>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</si>
  <si>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</si>
  <si>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</si>
  <si>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</si>
  <si>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</si>
  <si>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</si>
  <si>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</si>
  <si>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</si>
  <si>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</si>
  <si>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</si>
  <si>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</si>
  <si>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</si>
  <si>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</si>
  <si>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</si>
  <si>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</si>
  <si>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</si>
  <si>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</si>
  <si>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</si>
  <si>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</si>
  <si>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</si>
  <si>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</si>
  <si>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</si>
  <si>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</si>
  <si>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</si>
  <si>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</si>
  <si>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</si>
  <si>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</si>
  <si>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</si>
  <si>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</si>
  <si>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</si>
  <si>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</si>
  <si>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</si>
  <si>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</si>
  <si>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</si>
  <si>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</si>
  <si>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</si>
  <si>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</si>
  <si>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</si>
  <si>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</si>
  <si>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</si>
  <si>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</si>
  <si>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</si>
  <si>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</si>
  <si>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</si>
  <si>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</si>
  <si>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</si>
  <si>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</si>
  <si>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</si>
  <si>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</si>
  <si>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</si>
  <si>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</si>
  <si>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</si>
  <si>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</si>
  <si>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</si>
  <si>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</si>
  <si>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</si>
  <si>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</si>
  <si>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</si>
  <si>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</si>
  <si>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</si>
  <si>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</si>
  <si>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</si>
  <si>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</si>
  <si>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</si>
  <si>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</si>
  <si>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</si>
  <si>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</si>
  <si>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</si>
  <si>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</si>
  <si>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</si>
  <si>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</si>
  <si>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</si>
  <si>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</si>
  <si>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</si>
  <si>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</si>
  <si>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</si>
  <si>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</si>
  <si>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</si>
  <si>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</si>
  <si>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</si>
  <si>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</si>
  <si>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</si>
  <si>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</si>
  <si>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</si>
  <si>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</si>
  <si>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</si>
  <si>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</si>
  <si>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</si>
  <si>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</si>
  <si>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</si>
  <si>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</si>
  <si>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</si>
  <si>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</si>
  <si>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</si>
  <si>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</si>
  <si>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</si>
  <si>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</si>
  <si>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</si>
  <si>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</si>
  <si>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</si>
  <si>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</si>
  <si>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</si>
  <si>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</si>
  <si>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</si>
  <si>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</si>
  <si>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</si>
  <si>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</si>
  <si>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</si>
  <si>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</si>
  <si>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</si>
  <si>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</si>
  <si>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</si>
  <si>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</si>
  <si>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</si>
  <si>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</si>
  <si>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</si>
  <si>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</si>
  <si>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</si>
  <si>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</si>
  <si>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</si>
  <si>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</si>
  <si>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</si>
  <si>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</si>
  <si>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</si>
  <si>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</si>
  <si>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</si>
  <si>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</si>
  <si>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</si>
  <si>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</si>
  <si>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</si>
  <si>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</si>
  <si>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</si>
  <si>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</si>
  <si>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</si>
  <si>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</si>
  <si>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</si>
  <si>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</si>
  <si>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</si>
  <si>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</si>
  <si>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</si>
  <si>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</si>
  <si>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</si>
  <si>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</si>
  <si>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</si>
  <si>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</si>
  <si>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</si>
  <si>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</si>
  <si>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</si>
  <si>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</si>
  <si>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</si>
  <si>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</si>
  <si>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</si>
  <si>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</si>
  <si>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</si>
  <si>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</si>
  <si>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</si>
  <si>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</si>
  <si>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</si>
  <si>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</si>
  <si>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</si>
  <si>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</si>
  <si>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</si>
  <si>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</si>
  <si>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</si>
  <si>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</si>
  <si>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</si>
  <si>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</si>
  <si>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</si>
  <si>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</si>
  <si>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</si>
  <si>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</si>
  <si>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</si>
  <si>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</si>
  <si>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</si>
  <si>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</si>
  <si>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</si>
  <si>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</si>
  <si>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</si>
  <si>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</si>
  <si>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</si>
  <si>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</si>
  <si>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</si>
  <si>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</si>
  <si>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</si>
  <si>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</si>
  <si>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</si>
  <si>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</si>
  <si>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</si>
  <si>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</si>
  <si>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</si>
  <si>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</si>
  <si>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</si>
  <si>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</si>
  <si>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</si>
  <si>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</si>
  <si>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</si>
  <si>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</si>
  <si>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</si>
  <si>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</si>
  <si>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</si>
  <si>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</si>
  <si>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</si>
  <si>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</si>
  <si>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</si>
  <si>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</si>
  <si>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</si>
  <si>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</si>
  <si>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</si>
  <si>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</si>
  <si>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</si>
  <si>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</si>
  <si>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</si>
  <si>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</si>
  <si>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</si>
  <si>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</si>
  <si>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</si>
  <si>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</si>
  <si>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</si>
  <si>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</si>
  <si>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</si>
  <si>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</si>
  <si>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</si>
  <si>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</si>
  <si>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</si>
  <si>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</si>
  <si>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</si>
  <si>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</si>
  <si>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</si>
  <si>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</si>
  <si>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</si>
  <si>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</si>
  <si>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</si>
  <si>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</si>
  <si>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</si>
  <si>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</si>
  <si>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</si>
  <si>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</si>
  <si>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</si>
  <si>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</si>
  <si>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</si>
  <si>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</si>
  <si>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13002</t>
  </si>
  <si>
    <t>BAARLE-HERTOG</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</si>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</sst>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29319.680153654659</c:v>
                </c:pt>
                <c:pt idx="1">
                  <c:v>2857.1999314704349</c:v>
                </c:pt>
                <c:pt idx="2">
                  <c:v>157.333</c:v>
                </c:pt>
                <c:pt idx="3">
                  <c:v>5628.8237967758942</c:v>
                </c:pt>
                <c:pt idx="4">
                  <c:v>486.54231040227302</c:v>
                </c:pt>
                <c:pt idx="5">
                  <c:v>6570.9776629094176</c:v>
                </c:pt>
                <c:pt idx="6">
                  <c:v>90.588075308377853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29319.680153654659</c:v>
                </c:pt>
                <c:pt idx="1">
                  <c:v>2857.1999314704349</c:v>
                </c:pt>
                <c:pt idx="2">
                  <c:v>157.333</c:v>
                </c:pt>
                <c:pt idx="3">
                  <c:v>5628.8237967758942</c:v>
                </c:pt>
                <c:pt idx="4">
                  <c:v>486.54231040227302</c:v>
                </c:pt>
                <c:pt idx="5">
                  <c:v>6570.9776629094176</c:v>
                </c:pt>
                <c:pt idx="6">
                  <c:v>90.588075308377853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5863.8983867192583</c:v>
                </c:pt>
                <c:pt idx="2">
                  <c:v>579.18411893693474</c:v>
                </c:pt>
                <c:pt idx="3">
                  <c:v>31.6742176387284</c:v>
                </c:pt>
                <c:pt idx="4">
                  <c:v>1396.0454105034435</c:v>
                </c:pt>
                <c:pt idx="5">
                  <c:v>93.679885922385054</c:v>
                </c:pt>
                <c:pt idx="6">
                  <c:v>1645.5673348378077</c:v>
                </c:pt>
                <c:pt idx="7">
                  <c:v>22.887128259190774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5863.8983867192583</c:v>
                </c:pt>
                <c:pt idx="2">
                  <c:v>579.18411893693474</c:v>
                </c:pt>
                <c:pt idx="3">
                  <c:v>31.6742176387284</c:v>
                </c:pt>
                <c:pt idx="4">
                  <c:v>1396.0454105034435</c:v>
                </c:pt>
                <c:pt idx="5">
                  <c:v>93.679885922385054</c:v>
                </c:pt>
                <c:pt idx="6">
                  <c:v>1645.5673348378077</c:v>
                </c:pt>
                <c:pt idx="7">
                  <c:v>22.887128259190774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13002</v>
      </c>
      <c r="B6" s="415"/>
      <c r="C6" s="416"/>
    </row>
    <row r="7" spans="1:7" s="413" customFormat="1" ht="15.75" customHeight="1">
      <c r="A7" s="417" t="str">
        <f>txtMunicipality</f>
        <v>BAARLE-HERTOG</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0.20131960643176194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0.20131960643176194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1097</v>
      </c>
      <c r="C9" s="342">
        <v>1027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457.87</v>
      </c>
    </row>
    <row r="15" spans="1:6">
      <c r="A15" s="348" t="s">
        <v>184</v>
      </c>
      <c r="B15" s="334">
        <v>271</v>
      </c>
    </row>
    <row r="16" spans="1:6">
      <c r="A16" s="348" t="s">
        <v>6</v>
      </c>
      <c r="B16" s="334">
        <v>612</v>
      </c>
    </row>
    <row r="17" spans="1:6">
      <c r="A17" s="348" t="s">
        <v>7</v>
      </c>
      <c r="B17" s="334">
        <v>29</v>
      </c>
    </row>
    <row r="18" spans="1:6">
      <c r="A18" s="348" t="s">
        <v>8</v>
      </c>
      <c r="B18" s="334">
        <v>338</v>
      </c>
    </row>
    <row r="19" spans="1:6">
      <c r="A19" s="348" t="s">
        <v>9</v>
      </c>
      <c r="B19" s="334">
        <v>337</v>
      </c>
    </row>
    <row r="20" spans="1:6">
      <c r="A20" s="348" t="s">
        <v>10</v>
      </c>
      <c r="B20" s="334">
        <v>117</v>
      </c>
    </row>
    <row r="21" spans="1:6">
      <c r="A21" s="348" t="s">
        <v>11</v>
      </c>
      <c r="B21" s="334">
        <v>1686</v>
      </c>
    </row>
    <row r="22" spans="1:6">
      <c r="A22" s="348" t="s">
        <v>12</v>
      </c>
      <c r="B22" s="334">
        <v>10374</v>
      </c>
    </row>
    <row r="23" spans="1:6">
      <c r="A23" s="348" t="s">
        <v>13</v>
      </c>
      <c r="B23" s="334">
        <v>83</v>
      </c>
    </row>
    <row r="24" spans="1:6">
      <c r="A24" s="348" t="s">
        <v>14</v>
      </c>
      <c r="B24" s="334">
        <v>5</v>
      </c>
    </row>
    <row r="25" spans="1:6">
      <c r="A25" s="348" t="s">
        <v>15</v>
      </c>
      <c r="B25" s="334">
        <v>456</v>
      </c>
    </row>
    <row r="26" spans="1:6">
      <c r="A26" s="348" t="s">
        <v>16</v>
      </c>
      <c r="B26" s="334">
        <v>8</v>
      </c>
    </row>
    <row r="27" spans="1:6">
      <c r="A27" s="348" t="s">
        <v>17</v>
      </c>
      <c r="B27" s="334">
        <v>0</v>
      </c>
    </row>
    <row r="28" spans="1:6" s="356" customFormat="1">
      <c r="A28" s="355" t="s">
        <v>18</v>
      </c>
      <c r="B28" s="355">
        <v>82141</v>
      </c>
    </row>
    <row r="29" spans="1:6">
      <c r="A29" s="355" t="s">
        <v>744</v>
      </c>
      <c r="B29" s="355">
        <v>7</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9106.3750815200001</v>
      </c>
    </row>
    <row r="39" spans="1:6">
      <c r="A39" s="348" t="s">
        <v>30</v>
      </c>
      <c r="B39" s="348" t="s">
        <v>31</v>
      </c>
      <c r="C39" s="334">
        <v>1178</v>
      </c>
      <c r="D39" s="334">
        <v>26922498.8371903</v>
      </c>
      <c r="E39" s="334">
        <v>1094</v>
      </c>
      <c r="F39" s="334">
        <v>4273291.4031056101</v>
      </c>
    </row>
    <row r="40" spans="1:6">
      <c r="A40" s="348" t="s">
        <v>30</v>
      </c>
      <c r="B40" s="348" t="s">
        <v>29</v>
      </c>
      <c r="C40" s="334">
        <v>0</v>
      </c>
      <c r="D40" s="334">
        <v>0</v>
      </c>
      <c r="E40" s="334">
        <v>0</v>
      </c>
      <c r="F40" s="334">
        <v>0</v>
      </c>
    </row>
    <row r="41" spans="1:6">
      <c r="A41" s="348" t="s">
        <v>32</v>
      </c>
      <c r="B41" s="348" t="s">
        <v>33</v>
      </c>
      <c r="C41" s="334">
        <v>0</v>
      </c>
      <c r="D41" s="334">
        <v>0</v>
      </c>
      <c r="E41" s="334">
        <v>18</v>
      </c>
      <c r="F41" s="334">
        <v>60290.733280111403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63758.683957990397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0</v>
      </c>
      <c r="E48" s="334">
        <v>8</v>
      </c>
      <c r="F48" s="334">
        <v>104057.431243393</v>
      </c>
    </row>
    <row r="49" spans="1:6">
      <c r="A49" s="348" t="s">
        <v>32</v>
      </c>
      <c r="B49" s="348" t="s">
        <v>40</v>
      </c>
      <c r="C49" s="334">
        <v>0</v>
      </c>
      <c r="D49" s="334">
        <v>0</v>
      </c>
      <c r="E49" s="334">
        <v>0</v>
      </c>
      <c r="F49" s="334">
        <v>0</v>
      </c>
    </row>
    <row r="50" spans="1:6">
      <c r="A50" s="348" t="s">
        <v>32</v>
      </c>
      <c r="B50" s="348" t="s">
        <v>41</v>
      </c>
      <c r="C50" s="334">
        <v>0</v>
      </c>
      <c r="D50" s="334">
        <v>0</v>
      </c>
      <c r="E50" s="334">
        <v>6</v>
      </c>
      <c r="F50" s="334">
        <v>101257.33886655</v>
      </c>
    </row>
    <row r="51" spans="1:6">
      <c r="A51" s="348" t="s">
        <v>42</v>
      </c>
      <c r="B51" s="348" t="s">
        <v>43</v>
      </c>
      <c r="C51" s="334">
        <v>0</v>
      </c>
      <c r="D51" s="334">
        <v>0</v>
      </c>
      <c r="E51" s="334">
        <v>38</v>
      </c>
      <c r="F51" s="334">
        <v>765979.023136987</v>
      </c>
    </row>
    <row r="52" spans="1:6">
      <c r="A52" s="348" t="s">
        <v>42</v>
      </c>
      <c r="B52" s="348" t="s">
        <v>29</v>
      </c>
      <c r="C52" s="334">
        <v>6</v>
      </c>
      <c r="D52" s="334">
        <v>1004050.69527481</v>
      </c>
      <c r="E52" s="334">
        <v>6</v>
      </c>
      <c r="F52" s="334">
        <v>118473.722943377</v>
      </c>
    </row>
    <row r="53" spans="1:6">
      <c r="A53" s="348" t="s">
        <v>44</v>
      </c>
      <c r="B53" s="348" t="s">
        <v>45</v>
      </c>
      <c r="C53" s="334">
        <v>3</v>
      </c>
      <c r="D53" s="334">
        <v>38847.390782351402</v>
      </c>
      <c r="E53" s="334">
        <v>86</v>
      </c>
      <c r="F53" s="334">
        <v>467583.17015050998</v>
      </c>
    </row>
    <row r="54" spans="1:6">
      <c r="A54" s="348" t="s">
        <v>46</v>
      </c>
      <c r="B54" s="348" t="s">
        <v>47</v>
      </c>
      <c r="C54" s="334">
        <v>0</v>
      </c>
      <c r="D54" s="334">
        <v>0</v>
      </c>
      <c r="E54" s="334">
        <v>1</v>
      </c>
      <c r="F54" s="334">
        <v>157333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3</v>
      </c>
      <c r="F57" s="334">
        <v>17618.576003436599</v>
      </c>
    </row>
    <row r="58" spans="1:6">
      <c r="A58" s="348" t="s">
        <v>49</v>
      </c>
      <c r="B58" s="348" t="s">
        <v>51</v>
      </c>
      <c r="C58" s="334">
        <v>0</v>
      </c>
      <c r="D58" s="334">
        <v>0</v>
      </c>
      <c r="E58" s="334">
        <v>0</v>
      </c>
      <c r="F58" s="334">
        <v>0</v>
      </c>
    </row>
    <row r="59" spans="1:6">
      <c r="A59" s="348" t="s">
        <v>49</v>
      </c>
      <c r="B59" s="348" t="s">
        <v>52</v>
      </c>
      <c r="C59" s="334">
        <v>0</v>
      </c>
      <c r="D59" s="334">
        <v>0</v>
      </c>
      <c r="E59" s="334">
        <v>54</v>
      </c>
      <c r="F59" s="334">
        <v>753392.25060232799</v>
      </c>
    </row>
    <row r="60" spans="1:6">
      <c r="A60" s="348" t="s">
        <v>49</v>
      </c>
      <c r="B60" s="348" t="s">
        <v>53</v>
      </c>
      <c r="C60" s="334">
        <v>0</v>
      </c>
      <c r="D60" s="334">
        <v>0</v>
      </c>
      <c r="E60" s="334">
        <v>16</v>
      </c>
      <c r="F60" s="334">
        <v>348894.970070176</v>
      </c>
    </row>
    <row r="61" spans="1:6">
      <c r="A61" s="348" t="s">
        <v>49</v>
      </c>
      <c r="B61" s="348" t="s">
        <v>54</v>
      </c>
      <c r="C61" s="334">
        <v>0</v>
      </c>
      <c r="D61" s="334">
        <v>0</v>
      </c>
      <c r="E61" s="334">
        <v>28</v>
      </c>
      <c r="F61" s="334">
        <v>181347.48471268601</v>
      </c>
    </row>
    <row r="62" spans="1:6">
      <c r="A62" s="348" t="s">
        <v>49</v>
      </c>
      <c r="B62" s="348" t="s">
        <v>55</v>
      </c>
      <c r="C62" s="334">
        <v>0</v>
      </c>
      <c r="D62" s="334">
        <v>0</v>
      </c>
      <c r="E62" s="334">
        <v>6</v>
      </c>
      <c r="F62" s="334">
        <v>76059.489815685694</v>
      </c>
    </row>
    <row r="63" spans="1:6">
      <c r="A63" s="348" t="s">
        <v>49</v>
      </c>
      <c r="B63" s="348" t="s">
        <v>29</v>
      </c>
      <c r="C63" s="334">
        <v>9</v>
      </c>
      <c r="D63" s="334">
        <v>334275.41480328399</v>
      </c>
      <c r="E63" s="334">
        <v>42</v>
      </c>
      <c r="F63" s="334">
        <v>682308.20020122803</v>
      </c>
    </row>
    <row r="64" spans="1:6">
      <c r="A64" s="348" t="s">
        <v>56</v>
      </c>
      <c r="B64" s="348" t="s">
        <v>57</v>
      </c>
      <c r="C64" s="334">
        <v>0</v>
      </c>
      <c r="D64" s="334">
        <v>0</v>
      </c>
      <c r="E64" s="334">
        <v>0</v>
      </c>
      <c r="F64" s="334">
        <v>0</v>
      </c>
    </row>
    <row r="65" spans="1:6">
      <c r="A65" s="348" t="s">
        <v>56</v>
      </c>
      <c r="B65" s="348" t="s">
        <v>29</v>
      </c>
      <c r="C65" s="334">
        <v>0</v>
      </c>
      <c r="D65" s="334">
        <v>0</v>
      </c>
      <c r="E65" s="334">
        <v>1</v>
      </c>
      <c r="F65" s="334">
        <v>17649.320982203699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4642202</v>
      </c>
      <c r="E73" s="475">
        <v>4715516.6055657417</v>
      </c>
    </row>
    <row r="74" spans="1:6">
      <c r="A74" s="348" t="s">
        <v>64</v>
      </c>
      <c r="B74" s="348" t="s">
        <v>657</v>
      </c>
      <c r="C74" s="1295" t="s">
        <v>659</v>
      </c>
      <c r="D74" s="475">
        <v>757310.5</v>
      </c>
      <c r="E74" s="475">
        <v>778183.73128980328</v>
      </c>
    </row>
    <row r="75" spans="1:6">
      <c r="A75" s="348" t="s">
        <v>65</v>
      </c>
      <c r="B75" s="348" t="s">
        <v>656</v>
      </c>
      <c r="C75" s="1295" t="s">
        <v>660</v>
      </c>
      <c r="D75" s="475">
        <v>1796399</v>
      </c>
      <c r="E75" s="475">
        <v>1824774.3049567107</v>
      </c>
    </row>
    <row r="76" spans="1:6">
      <c r="A76" s="348" t="s">
        <v>65</v>
      </c>
      <c r="B76" s="348" t="s">
        <v>657</v>
      </c>
      <c r="C76" s="1295" t="s">
        <v>661</v>
      </c>
      <c r="D76" s="475">
        <v>34675.5</v>
      </c>
      <c r="E76" s="475">
        <v>35872.797929549801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24569</v>
      </c>
      <c r="C83" s="475">
        <v>24677.35314581991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487.85146607006317</v>
      </c>
    </row>
    <row r="92" spans="1:6">
      <c r="A92" s="341" t="s">
        <v>69</v>
      </c>
      <c r="B92" s="342">
        <v>283.51576357175702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675</v>
      </c>
    </row>
    <row r="98" spans="1:6">
      <c r="A98" s="348" t="s">
        <v>72</v>
      </c>
      <c r="B98" s="334">
        <v>1</v>
      </c>
    </row>
    <row r="99" spans="1:6">
      <c r="A99" s="348" t="s">
        <v>73</v>
      </c>
      <c r="B99" s="334">
        <v>5</v>
      </c>
    </row>
    <row r="100" spans="1:6">
      <c r="A100" s="348" t="s">
        <v>74</v>
      </c>
      <c r="B100" s="334">
        <v>23</v>
      </c>
    </row>
    <row r="101" spans="1:6">
      <c r="A101" s="348" t="s">
        <v>75</v>
      </c>
      <c r="B101" s="334">
        <v>24</v>
      </c>
    </row>
    <row r="102" spans="1:6">
      <c r="A102" s="348" t="s">
        <v>76</v>
      </c>
      <c r="B102" s="334">
        <v>17</v>
      </c>
    </row>
    <row r="103" spans="1:6">
      <c r="A103" s="348" t="s">
        <v>77</v>
      </c>
      <c r="B103" s="334">
        <v>16</v>
      </c>
    </row>
    <row r="104" spans="1:6">
      <c r="A104" s="348" t="s">
        <v>78</v>
      </c>
      <c r="B104" s="334">
        <v>95</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v>
      </c>
    </row>
    <row r="130" spans="1:6">
      <c r="A130" s="348" t="s">
        <v>295</v>
      </c>
      <c r="B130" s="334">
        <v>0</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8662.0299111276472</v>
      </c>
      <c r="C3" s="43" t="s">
        <v>170</v>
      </c>
      <c r="D3" s="43"/>
      <c r="E3" s="154"/>
      <c r="F3" s="43"/>
      <c r="G3" s="43"/>
      <c r="H3" s="43"/>
      <c r="I3" s="43"/>
      <c r="J3" s="43"/>
      <c r="K3" s="96"/>
    </row>
    <row r="4" spans="1:11">
      <c r="A4" s="383" t="s">
        <v>171</v>
      </c>
      <c r="B4" s="49">
        <f>IF(ISERROR('SEAP template'!B78+'SEAP template'!C78),0,'SEAP template'!B78+'SEAP template'!C78)</f>
        <v>771.36722964182013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0.20131960643176194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157.333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157.333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0.20131960643176194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31.6742176387284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4273.2914031056098</v>
      </c>
      <c r="C5" s="17">
        <f>IF(ISERROR('Eigen informatie GS &amp; warmtenet'!B57),0,'Eigen informatie GS &amp; warmtenet'!B57)</f>
        <v>0</v>
      </c>
      <c r="D5" s="30">
        <f>(SUM(HH_hh_gas_kWh,HH_rest_gas_kWh)/1000)*0.902</f>
        <v>24284.093951145653</v>
      </c>
      <c r="E5" s="17">
        <f>B46*B57</f>
        <v>0</v>
      </c>
      <c r="F5" s="17">
        <f>B51*B62</f>
        <v>0</v>
      </c>
      <c r="G5" s="18"/>
      <c r="H5" s="17"/>
      <c r="I5" s="17"/>
      <c r="J5" s="17">
        <f>B50*B61+C50*C61</f>
        <v>0</v>
      </c>
      <c r="K5" s="17"/>
      <c r="L5" s="17"/>
      <c r="M5" s="17"/>
      <c r="N5" s="17">
        <f>B48*B59+C48*C59</f>
        <v>0</v>
      </c>
      <c r="O5" s="17">
        <f>B69*B70*B71</f>
        <v>26.576666666666668</v>
      </c>
      <c r="P5" s="17">
        <f>B77*B78*B79/1000-B77*B78*B79/1000/B80</f>
        <v>247.86666666666667</v>
      </c>
    </row>
    <row r="6" spans="1:16">
      <c r="A6" s="16" t="s">
        <v>621</v>
      </c>
      <c r="B6" s="788">
        <f>kWh_PV_kleiner_dan_10kW</f>
        <v>487.85146607006317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4761.1428691756728</v>
      </c>
      <c r="C8" s="21">
        <f>C5</f>
        <v>0</v>
      </c>
      <c r="D8" s="21">
        <f>D5</f>
        <v>24284.093951145653</v>
      </c>
      <c r="E8" s="21">
        <f>E5</f>
        <v>0</v>
      </c>
      <c r="F8" s="21">
        <f>F5</f>
        <v>0</v>
      </c>
      <c r="G8" s="21"/>
      <c r="H8" s="21"/>
      <c r="I8" s="21"/>
      <c r="J8" s="21">
        <f>J5</f>
        <v>0</v>
      </c>
      <c r="K8" s="21"/>
      <c r="L8" s="21">
        <f>L5</f>
        <v>0</v>
      </c>
      <c r="M8" s="21">
        <f>M5</f>
        <v>0</v>
      </c>
      <c r="N8" s="21">
        <f>N5</f>
        <v>0</v>
      </c>
      <c r="O8" s="21">
        <f>O5</f>
        <v>26.576666666666668</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0.20131960643176194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958.51140858783629</v>
      </c>
      <c r="C12" s="23">
        <f ca="1">C10*C8</f>
        <v>0</v>
      </c>
      <c r="D12" s="23">
        <f>D8*D10</f>
        <v>4905.3869781314224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675</v>
      </c>
      <c r="C18" s="166" t="s">
        <v>111</v>
      </c>
      <c r="D18" s="228"/>
      <c r="E18" s="15"/>
    </row>
    <row r="19" spans="1:7">
      <c r="A19" s="171" t="s">
        <v>72</v>
      </c>
      <c r="B19" s="37">
        <f>aantalw2001_ander</f>
        <v>1</v>
      </c>
      <c r="C19" s="166" t="s">
        <v>111</v>
      </c>
      <c r="D19" s="229"/>
      <c r="E19" s="15"/>
    </row>
    <row r="20" spans="1:7">
      <c r="A20" s="171" t="s">
        <v>73</v>
      </c>
      <c r="B20" s="37">
        <f>aantalw2001_propaan</f>
        <v>5</v>
      </c>
      <c r="C20" s="167">
        <f>IF(ISERROR(B20/SUM($B$20,$B$21,$B$22)*100),0,B20/SUM($B$20,$B$21,$B$22)*100)</f>
        <v>9.6153846153846168</v>
      </c>
      <c r="D20" s="229"/>
      <c r="E20" s="15"/>
    </row>
    <row r="21" spans="1:7">
      <c r="A21" s="171" t="s">
        <v>74</v>
      </c>
      <c r="B21" s="37">
        <f>aantalw2001_elektriciteit</f>
        <v>23</v>
      </c>
      <c r="C21" s="167">
        <f>IF(ISERROR(B21/SUM($B$20,$B$21,$B$22)*100),0,B21/SUM($B$20,$B$21,$B$22)*100)</f>
        <v>44.230769230769226</v>
      </c>
      <c r="D21" s="229"/>
      <c r="E21" s="15"/>
    </row>
    <row r="22" spans="1:7">
      <c r="A22" s="171" t="s">
        <v>75</v>
      </c>
      <c r="B22" s="37">
        <f>aantalw2001_hout</f>
        <v>24</v>
      </c>
      <c r="C22" s="167">
        <f>IF(ISERROR(B22/SUM($B$20,$B$21,$B$22)*100),0,B22/SUM($B$20,$B$21,$B$22)*100)</f>
        <v>46.153846153846153</v>
      </c>
      <c r="D22" s="229"/>
      <c r="E22" s="15"/>
    </row>
    <row r="23" spans="1:7">
      <c r="A23" s="171" t="s">
        <v>76</v>
      </c>
      <c r="B23" s="37">
        <f>aantalw2001_niet_gespec</f>
        <v>17</v>
      </c>
      <c r="C23" s="166" t="s">
        <v>111</v>
      </c>
      <c r="D23" s="228"/>
      <c r="E23" s="15"/>
    </row>
    <row r="24" spans="1:7">
      <c r="A24" s="171" t="s">
        <v>77</v>
      </c>
      <c r="B24" s="37">
        <f>aantalw2001_steenkool</f>
        <v>16</v>
      </c>
      <c r="C24" s="166" t="s">
        <v>111</v>
      </c>
      <c r="D24" s="229"/>
      <c r="E24" s="15"/>
    </row>
    <row r="25" spans="1:7">
      <c r="A25" s="171" t="s">
        <v>78</v>
      </c>
      <c r="B25" s="37">
        <f>aantalw2001_stookolie</f>
        <v>95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1097</v>
      </c>
      <c r="C28" s="36"/>
      <c r="D28" s="228"/>
    </row>
    <row r="29" spans="1:7" s="15" customFormat="1">
      <c r="A29" s="230" t="s">
        <v>794</v>
      </c>
      <c r="B29" s="37">
        <f>SUM(HH_hh_gas_aantal,HH_rest_gas_aantal)</f>
        <v>1178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1178</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1178</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2059.6209714055403</v>
      </c>
      <c r="C5" s="17">
        <f>IF(ISERROR('Eigen informatie GS &amp; warmtenet'!B58),0,'Eigen informatie GS &amp; warmtenet'!B58)</f>
        <v>0</v>
      </c>
      <c r="D5" s="30">
        <f>SUM(D6:D12)</f>
        <v>301.51642415256214</v>
      </c>
      <c r="E5" s="17">
        <f>SUM(E6:E12)</f>
        <v>41.964205612739121</v>
      </c>
      <c r="F5" s="17">
        <f>SUM(F6:F12)</f>
        <v>352.46862529426994</v>
      </c>
      <c r="G5" s="18"/>
      <c r="H5" s="17"/>
      <c r="I5" s="17"/>
      <c r="J5" s="17">
        <f>SUM(J6:J12)</f>
        <v>2.034656747994178E-3</v>
      </c>
      <c r="K5" s="17"/>
      <c r="L5" s="17"/>
      <c r="M5" s="17"/>
      <c r="N5" s="17">
        <f>SUM(N6:N12)</f>
        <v>82.561003681908531</v>
      </c>
      <c r="O5" s="17">
        <f>B38*B39*B40</f>
        <v>0</v>
      </c>
      <c r="P5" s="17">
        <f>B46*B47*B48/1000-B46*B47*B48/1000/B49</f>
        <v>19.066666666666666</v>
      </c>
      <c r="R5" s="32"/>
    </row>
    <row r="6" spans="1:18">
      <c r="A6" s="32" t="s">
        <v>54</v>
      </c>
      <c r="B6" s="37">
        <f>B26</f>
        <v>181.34748471268603</v>
      </c>
      <c r="C6" s="33"/>
      <c r="D6" s="37">
        <f>IF(ISERROR(TER_kantoor_gas_kWh/1000),0,TER_kantoor_gas_kWh/1000)*0.902</f>
        <v>0</v>
      </c>
      <c r="E6" s="33">
        <f>$C$26*'E Balans VL '!I12/100/3.6*1000000</f>
        <v>1.1366257189506237E-3</v>
      </c>
      <c r="F6" s="33">
        <f>$C$26*('E Balans VL '!L12+'E Balans VL '!N12)/100/3.6*1000000</f>
        <v>27.251459620303315</v>
      </c>
      <c r="G6" s="34"/>
      <c r="H6" s="33"/>
      <c r="I6" s="33"/>
      <c r="J6" s="33">
        <f>$C$26*('E Balans VL '!D12+'E Balans VL '!E12)/100/3.6*1000000</f>
        <v>0</v>
      </c>
      <c r="K6" s="33"/>
      <c r="L6" s="33"/>
      <c r="M6" s="33"/>
      <c r="N6" s="33">
        <f>$C$26*'E Balans VL '!Y12/100/3.6*1000000</f>
        <v>0.17343198141230565</v>
      </c>
      <c r="O6" s="33"/>
      <c r="P6" s="33"/>
      <c r="R6" s="32"/>
    </row>
    <row r="7" spans="1:18">
      <c r="A7" s="32" t="s">
        <v>53</v>
      </c>
      <c r="B7" s="37">
        <f t="shared" ref="B7:B12" si="0">B27</f>
        <v>348.89497007017599</v>
      </c>
      <c r="C7" s="33"/>
      <c r="D7" s="37">
        <f>IF(ISERROR(TER_horeca_gas_kWh/1000),0,TER_horeca_gas_kWh/1000)*0.902</f>
        <v>0</v>
      </c>
      <c r="E7" s="33">
        <f>$C$27*'E Balans VL '!I9/100/3.6*1000000</f>
        <v>4.9961178565969124</v>
      </c>
      <c r="F7" s="33">
        <f>$C$27*('E Balans VL '!L9+'E Balans VL '!N9)/100/3.6*1000000</f>
        <v>44.18161021031429</v>
      </c>
      <c r="G7" s="34"/>
      <c r="H7" s="33"/>
      <c r="I7" s="33"/>
      <c r="J7" s="33">
        <f>$C$27*('E Balans VL '!D9+'E Balans VL '!E9)/100/3.6*1000000</f>
        <v>0</v>
      </c>
      <c r="K7" s="33"/>
      <c r="L7" s="33"/>
      <c r="M7" s="33"/>
      <c r="N7" s="33">
        <f>$C$27*'E Balans VL '!Y9/100/3.6*1000000</f>
        <v>0.10029961142140492</v>
      </c>
      <c r="O7" s="33"/>
      <c r="P7" s="33"/>
      <c r="R7" s="32"/>
    </row>
    <row r="8" spans="1:18">
      <c r="A8" s="6" t="s">
        <v>52</v>
      </c>
      <c r="B8" s="37">
        <f t="shared" si="0"/>
        <v>753.39225060232798</v>
      </c>
      <c r="C8" s="33"/>
      <c r="D8" s="37">
        <f>IF(ISERROR(TER_handel_gas_kWh/1000),0,TER_handel_gas_kWh/1000)*0.902</f>
        <v>0</v>
      </c>
      <c r="E8" s="33">
        <f>$C$28*'E Balans VL '!I13/100/3.6*1000000</f>
        <v>27.325444025176342</v>
      </c>
      <c r="F8" s="33">
        <f>$C$28*('E Balans VL '!L13+'E Balans VL '!N13)/100/3.6*1000000</f>
        <v>145.11097604755579</v>
      </c>
      <c r="G8" s="34"/>
      <c r="H8" s="33"/>
      <c r="I8" s="33"/>
      <c r="J8" s="33">
        <f>$C$28*('E Balans VL '!D13+'E Balans VL '!E13)/100/3.6*1000000</f>
        <v>0</v>
      </c>
      <c r="K8" s="33"/>
      <c r="L8" s="33"/>
      <c r="M8" s="33"/>
      <c r="N8" s="33">
        <f>$C$28*'E Balans VL '!Y13/100/3.6*1000000</f>
        <v>1.0436216149100064</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17.618576003436598</v>
      </c>
      <c r="C10" s="33"/>
      <c r="D10" s="37">
        <f>IF(ISERROR(TER_ander_gas_kWh/1000),0,TER_ander_gas_kWh/1000)*0.902</f>
        <v>0</v>
      </c>
      <c r="E10" s="33">
        <f>$C$30*'E Balans VL '!I14/100/3.6*1000000</f>
        <v>2.1000713014570647E-2</v>
      </c>
      <c r="F10" s="33">
        <f>$C$30*('E Balans VL '!L14+'E Balans VL '!N14)/100/3.6*1000000</f>
        <v>4.6098027428683963</v>
      </c>
      <c r="G10" s="34"/>
      <c r="H10" s="33"/>
      <c r="I10" s="33"/>
      <c r="J10" s="33">
        <f>$C$30*('E Balans VL '!D14+'E Balans VL '!E14)/100/3.6*1000000</f>
        <v>3.8243022212363726E-4</v>
      </c>
      <c r="K10" s="33"/>
      <c r="L10" s="33"/>
      <c r="M10" s="33"/>
      <c r="N10" s="33">
        <f>$C$30*'E Balans VL '!Y14/100/3.6*1000000</f>
        <v>14.961263621632007</v>
      </c>
      <c r="O10" s="33"/>
      <c r="P10" s="33"/>
      <c r="R10" s="32"/>
    </row>
    <row r="11" spans="1:18">
      <c r="A11" s="32" t="s">
        <v>55</v>
      </c>
      <c r="B11" s="37">
        <f t="shared" si="0"/>
        <v>76.059489815685694</v>
      </c>
      <c r="C11" s="33"/>
      <c r="D11" s="37">
        <f>IF(ISERROR(TER_onderwijs_gas_kWh/1000),0,TER_onderwijs_gas_kWh/1000)*0.902</f>
        <v>0</v>
      </c>
      <c r="E11" s="33">
        <f>$C$31*'E Balans VL '!I11/100/3.6*1000000</f>
        <v>1.1476151958613421</v>
      </c>
      <c r="F11" s="33">
        <f>$C$31*('E Balans VL '!L11+'E Balans VL '!N11)/100/3.6*1000000</f>
        <v>13.326837702206355</v>
      </c>
      <c r="G11" s="34"/>
      <c r="H11" s="33"/>
      <c r="I11" s="33"/>
      <c r="J11" s="33">
        <f>$C$31*('E Balans VL '!D11+'E Balans VL '!E11)/100/3.6*1000000</f>
        <v>0</v>
      </c>
      <c r="K11" s="33"/>
      <c r="L11" s="33"/>
      <c r="M11" s="33"/>
      <c r="N11" s="33">
        <f>$C$31*'E Balans VL '!Y11/100/3.6*1000000</f>
        <v>0.21403718660395471</v>
      </c>
      <c r="O11" s="33"/>
      <c r="P11" s="33"/>
      <c r="R11" s="32"/>
    </row>
    <row r="12" spans="1:18">
      <c r="A12" s="32" t="s">
        <v>260</v>
      </c>
      <c r="B12" s="37">
        <f t="shared" si="0"/>
        <v>682.30820020122803</v>
      </c>
      <c r="C12" s="33"/>
      <c r="D12" s="37">
        <f>IF(ISERROR(TER_rest_gas_kWh/1000),0,TER_rest_gas_kWh/1000)*0.902</f>
        <v>301.51642415256214</v>
      </c>
      <c r="E12" s="33">
        <f>$C$32*'E Balans VL '!I8/100/3.6*1000000</f>
        <v>8.4728911963710019</v>
      </c>
      <c r="F12" s="33">
        <f>$C$32*('E Balans VL '!L8+'E Balans VL '!N8)/100/3.6*1000000</f>
        <v>117.98793897102179</v>
      </c>
      <c r="G12" s="34"/>
      <c r="H12" s="33"/>
      <c r="I12" s="33"/>
      <c r="J12" s="33">
        <f>$C$32*('E Balans VL '!D8+'E Balans VL '!E8)/100/3.6*1000000</f>
        <v>1.6522265258705406E-3</v>
      </c>
      <c r="K12" s="33"/>
      <c r="L12" s="33"/>
      <c r="M12" s="33"/>
      <c r="N12" s="33">
        <f>$C$32*'E Balans VL '!Y8/100/3.6*1000000</f>
        <v>66.068349665928849</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2059.6209714055403</v>
      </c>
      <c r="C16" s="21">
        <f t="shared" ca="1" si="1"/>
        <v>0</v>
      </c>
      <c r="D16" s="21">
        <f t="shared" ca="1" si="1"/>
        <v>301.51642415256214</v>
      </c>
      <c r="E16" s="21">
        <f t="shared" si="1"/>
        <v>41.964205612739121</v>
      </c>
      <c r="F16" s="21">
        <f t="shared" ca="1" si="1"/>
        <v>352.46862529426994</v>
      </c>
      <c r="G16" s="21">
        <f t="shared" si="1"/>
        <v>0</v>
      </c>
      <c r="H16" s="21">
        <f t="shared" si="1"/>
        <v>0</v>
      </c>
      <c r="I16" s="21">
        <f t="shared" si="1"/>
        <v>0</v>
      </c>
      <c r="J16" s="21">
        <f t="shared" si="1"/>
        <v>2.034656747994178E-3</v>
      </c>
      <c r="K16" s="21">
        <f t="shared" si="1"/>
        <v>0</v>
      </c>
      <c r="L16" s="21">
        <f t="shared" ca="1" si="1"/>
        <v>0</v>
      </c>
      <c r="M16" s="21">
        <f t="shared" si="1"/>
        <v>0</v>
      </c>
      <c r="N16" s="21">
        <f t="shared" ca="1" si="1"/>
        <v>82.561003681908531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0.20131960643176194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414.64208336196663</v>
      </c>
      <c r="C20" s="23">
        <f t="shared" ref="C20:P20" ca="1" si="2">C16*C18</f>
        <v>0</v>
      </c>
      <c r="D20" s="23">
        <f t="shared" ca="1" si="2"/>
        <v>60.906317678817558</v>
      </c>
      <c r="E20" s="23">
        <f t="shared" si="2"/>
        <v>9.5258746740917815</v>
      </c>
      <c r="F20" s="23">
        <f t="shared" ca="1" si="2"/>
        <v>94.109122953570079</v>
      </c>
      <c r="G20" s="23">
        <f t="shared" si="2"/>
        <v>0</v>
      </c>
      <c r="H20" s="23">
        <f t="shared" si="2"/>
        <v>0</v>
      </c>
      <c r="I20" s="23">
        <f t="shared" si="2"/>
        <v>0</v>
      </c>
      <c r="J20" s="23">
        <f t="shared" si="2"/>
        <v>7.2026848878993901E-4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181.34748471268603</v>
      </c>
      <c r="C26" s="39">
        <f>IF(ISERROR(B26*3.6/1000000/'E Balans VL '!Z12*100),0,B26*3.6/1000000/'E Balans VL '!Z12*100)</f>
        <v>3.8333985492055279E-3</v>
      </c>
      <c r="D26" s="237" t="s">
        <v>754</v>
      </c>
      <c r="F26" s="6"/>
    </row>
    <row r="27" spans="1:18">
      <c r="A27" s="231" t="s">
        <v>53</v>
      </c>
      <c r="B27" s="33">
        <f>IF(ISERROR(TER_horeca_ele_kWh/1000),0,TER_horeca_ele_kWh/1000)</f>
        <v>348.89497007017599</v>
      </c>
      <c r="C27" s="39">
        <f>IF(ISERROR(B27*3.6/1000000/'E Balans VL '!Z9*100),0,B27*3.6/1000000/'E Balans VL '!Z9*100)</f>
        <v>2.7503260450837855E-2</v>
      </c>
      <c r="D27" s="237" t="s">
        <v>754</v>
      </c>
      <c r="F27" s="6"/>
    </row>
    <row r="28" spans="1:18">
      <c r="A28" s="171" t="s">
        <v>52</v>
      </c>
      <c r="B28" s="33">
        <f>IF(ISERROR(TER_handel_ele_kWh/1000),0,TER_handel_ele_kWh/1000)</f>
        <v>753.39225060232798</v>
      </c>
      <c r="C28" s="39">
        <f>IF(ISERROR(B28*3.6/1000000/'E Balans VL '!Z13*100),0,B28*3.6/1000000/'E Balans VL '!Z13*100)</f>
        <v>2.1866487158275903E-2</v>
      </c>
      <c r="D28" s="237" t="s">
        <v>754</v>
      </c>
      <c r="F28" s="6"/>
    </row>
    <row r="29" spans="1:18">
      <c r="A29" s="231" t="s">
        <v>51</v>
      </c>
      <c r="B29" s="33">
        <f>IF(ISERROR(TER_gezond_ele_kWh/1000),0,TER_gezond_ele_kWh/1000)</f>
        <v>0</v>
      </c>
      <c r="C29" s="39">
        <f>IF(ISERROR(B29*3.6/1000000/'E Balans VL '!Z10*100),0,B29*3.6/1000000/'E Balans VL '!Z10*100)</f>
        <v>0</v>
      </c>
      <c r="D29" s="237" t="s">
        <v>754</v>
      </c>
      <c r="F29" s="6"/>
    </row>
    <row r="30" spans="1:18">
      <c r="A30" s="231" t="s">
        <v>50</v>
      </c>
      <c r="B30" s="33">
        <f>IF(ISERROR(TER_ander_ele_kWh/1000),0,TER_ander_ele_kWh/1000)</f>
        <v>17.618576003436598</v>
      </c>
      <c r="C30" s="39">
        <f>IF(ISERROR(B30*3.6/1000000/'E Balans VL '!Z14*100),0,B30*3.6/1000000/'E Balans VL '!Z14*100)</f>
        <v>1.2995499927491558E-3</v>
      </c>
      <c r="D30" s="237" t="s">
        <v>754</v>
      </c>
      <c r="F30" s="6"/>
    </row>
    <row r="31" spans="1:18">
      <c r="A31" s="231" t="s">
        <v>55</v>
      </c>
      <c r="B31" s="33">
        <f>IF(ISERROR(TER_onderwijs_ele_kWh/1000),0,TER_onderwijs_ele_kWh/1000)</f>
        <v>76.059489815685694</v>
      </c>
      <c r="C31" s="39">
        <f>IF(ISERROR(B31*3.6/1000000/'E Balans VL '!Z11*100),0,B31*3.6/1000000/'E Balans VL '!Z11*100)</f>
        <v>1.8889134157560491E-2</v>
      </c>
      <c r="D31" s="237" t="s">
        <v>754</v>
      </c>
    </row>
    <row r="32" spans="1:18">
      <c r="A32" s="231" t="s">
        <v>260</v>
      </c>
      <c r="B32" s="33">
        <f>IF(ISERROR(TER_rest_ele_kWh/1000),0,TER_rest_ele_kWh/1000)</f>
        <v>682.30820020122803</v>
      </c>
      <c r="C32" s="39">
        <f>IF(ISERROR(B32*3.6/1000000/'E Balans VL '!Z8*100),0,B32*3.6/1000000/'E Balans VL '!Z8*100)</f>
        <v>5.6144908155842952E-3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329.36418734804482</v>
      </c>
      <c r="C5" s="17">
        <f>IF(ISERROR('Eigen informatie GS &amp; warmtenet'!B59),0,'Eigen informatie GS &amp; warmtenet'!B59)</f>
        <v>0</v>
      </c>
      <c r="D5" s="30">
        <f>SUM(D6:D15)</f>
        <v>0</v>
      </c>
      <c r="E5" s="17">
        <f>SUM(E6:E15)</f>
        <v>24.170195062163554</v>
      </c>
      <c r="F5" s="17">
        <f>SUM(F6:F15)</f>
        <v>81.475317267232242</v>
      </c>
      <c r="G5" s="18"/>
      <c r="H5" s="17"/>
      <c r="I5" s="17"/>
      <c r="J5" s="17">
        <f>SUM(J6:J15)</f>
        <v>0.37252362513396814</v>
      </c>
      <c r="K5" s="17"/>
      <c r="L5" s="17"/>
      <c r="M5" s="17"/>
      <c r="N5" s="17">
        <f>SUM(N6:N15)</f>
        <v>51.160087099698423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63.758683957990399</v>
      </c>
      <c r="C8" s="33"/>
      <c r="D8" s="37">
        <f>IF( ISERROR(IND_metaal_Gas_kWH/1000),0,IND_metaal_Gas_kWH/1000)*0.902</f>
        <v>0</v>
      </c>
      <c r="E8" s="33">
        <f>C30*'E Balans VL '!I18/100/3.6*1000000</f>
        <v>0.58619952027113975</v>
      </c>
      <c r="F8" s="33">
        <f>C30*'E Balans VL '!L18/100/3.6*1000000+C30*'E Balans VL '!N18/100/3.6*1000000</f>
        <v>5.9784418137969162</v>
      </c>
      <c r="G8" s="34"/>
      <c r="H8" s="33"/>
      <c r="I8" s="33"/>
      <c r="J8" s="40">
        <f>C30*'E Balans VL '!D18/100/3.6*1000000+C30*'E Balans VL '!E18/100/3.6*1000000</f>
        <v>0</v>
      </c>
      <c r="K8" s="33"/>
      <c r="L8" s="33"/>
      <c r="M8" s="33"/>
      <c r="N8" s="33">
        <f>C30*'E Balans VL '!Y18/100/3.6*1000000</f>
        <v>0.90962299232303223</v>
      </c>
      <c r="O8" s="33"/>
      <c r="P8" s="33"/>
      <c r="R8" s="32"/>
    </row>
    <row r="9" spans="1:18">
      <c r="A9" s="6" t="s">
        <v>33</v>
      </c>
      <c r="B9" s="37">
        <f t="shared" si="0"/>
        <v>60.290733280111404</v>
      </c>
      <c r="C9" s="33"/>
      <c r="D9" s="37">
        <f>IF( ISERROR(IND_andere_gas_kWh/1000),0,IND_andere_gas_kWh/1000)*0.902</f>
        <v>0</v>
      </c>
      <c r="E9" s="33">
        <f>C31*'E Balans VL '!I19/100/3.6*1000000</f>
        <v>17.6241550599138</v>
      </c>
      <c r="F9" s="33">
        <f>C31*'E Balans VL '!L19/100/3.6*1000000+C31*'E Balans VL '!N19/100/3.6*1000000</f>
        <v>48.448167779749213</v>
      </c>
      <c r="G9" s="34"/>
      <c r="H9" s="33"/>
      <c r="I9" s="33"/>
      <c r="J9" s="40">
        <f>C31*'E Balans VL '!D19/100/3.6*1000000+C31*'E Balans VL '!E19/100/3.6*1000000</f>
        <v>0</v>
      </c>
      <c r="K9" s="33"/>
      <c r="L9" s="33"/>
      <c r="M9" s="33"/>
      <c r="N9" s="33">
        <f>C31*'E Balans VL '!Y19/100/3.6*1000000</f>
        <v>19.92099331872738</v>
      </c>
      <c r="O9" s="33"/>
      <c r="P9" s="33"/>
      <c r="R9" s="32"/>
    </row>
    <row r="10" spans="1:18">
      <c r="A10" s="6" t="s">
        <v>41</v>
      </c>
      <c r="B10" s="37">
        <f t="shared" si="0"/>
        <v>101.25733886655</v>
      </c>
      <c r="C10" s="33"/>
      <c r="D10" s="37">
        <f>IF( ISERROR(IND_voed_gas_kWh/1000),0,IND_voed_gas_kWh/1000)*0.902</f>
        <v>0</v>
      </c>
      <c r="E10" s="33">
        <f>C32*'E Balans VL '!I20/100/3.6*1000000</f>
        <v>0.21421147038582064</v>
      </c>
      <c r="F10" s="33">
        <f>C32*'E Balans VL '!L20/100/3.6*1000000+C32*'E Balans VL '!N20/100/3.6*1000000</f>
        <v>6.4380450364738238</v>
      </c>
      <c r="G10" s="34"/>
      <c r="H10" s="33"/>
      <c r="I10" s="33"/>
      <c r="J10" s="40">
        <f>C32*'E Balans VL '!D20/100/3.6*1000000+C32*'E Balans VL '!E20/100/3.6*1000000</f>
        <v>0</v>
      </c>
      <c r="K10" s="33"/>
      <c r="L10" s="33"/>
      <c r="M10" s="33"/>
      <c r="N10" s="33">
        <f>C32*'E Balans VL '!Y20/100/3.6*1000000</f>
        <v>6.987755613627697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104.057431243393</v>
      </c>
      <c r="C15" s="33"/>
      <c r="D15" s="37">
        <f>IF( ISERROR(IND_rest_gas_kWh/1000),0,IND_rest_gas_kWh/1000)*0.902</f>
        <v>0</v>
      </c>
      <c r="E15" s="33">
        <f>C37*'E Balans VL '!I15/100/3.6*1000000</f>
        <v>5.7456290115927926</v>
      </c>
      <c r="F15" s="33">
        <f>C37*'E Balans VL '!L15/100/3.6*1000000+C37*'E Balans VL '!N15/100/3.6*1000000</f>
        <v>20.610662637212279</v>
      </c>
      <c r="G15" s="34"/>
      <c r="H15" s="33"/>
      <c r="I15" s="33"/>
      <c r="J15" s="40">
        <f>C37*'E Balans VL '!D15/100/3.6*1000000+C37*'E Balans VL '!E15/100/3.6*1000000</f>
        <v>0.37252362513396814</v>
      </c>
      <c r="K15" s="33"/>
      <c r="L15" s="33"/>
      <c r="M15" s="33"/>
      <c r="N15" s="33">
        <f>C37*'E Balans VL '!Y15/100/3.6*1000000</f>
        <v>23.341715175020312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329.36418734804482</v>
      </c>
      <c r="C18" s="21">
        <f>C5+C16</f>
        <v>0</v>
      </c>
      <c r="D18" s="21">
        <f>MAX((D5+D16),0)</f>
        <v>0</v>
      </c>
      <c r="E18" s="21">
        <f>MAX((E5+E16),0)</f>
        <v>24.170195062163554</v>
      </c>
      <c r="F18" s="21">
        <f>MAX((F5+F16),0)</f>
        <v>81.475317267232242</v>
      </c>
      <c r="G18" s="21"/>
      <c r="H18" s="21"/>
      <c r="I18" s="21"/>
      <c r="J18" s="21">
        <f>MAX((J5+J16),0)</f>
        <v>0.37252362513396814</v>
      </c>
      <c r="K18" s="21"/>
      <c r="L18" s="21">
        <f>MAX((L5+L16),0)</f>
        <v>0</v>
      </c>
      <c r="M18" s="21"/>
      <c r="N18" s="21">
        <f>MAX((N5+N16),0)</f>
        <v>51.160087099698423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0.20131960643176194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66.307468569625485</v>
      </c>
      <c r="C22" s="23">
        <f ca="1">C18*C20</f>
        <v>0</v>
      </c>
      <c r="D22" s="23">
        <f>D18*D20</f>
        <v>0</v>
      </c>
      <c r="E22" s="23">
        <f>E18*E20</f>
        <v>5.4866342791111267</v>
      </c>
      <c r="F22" s="23">
        <f>F18*F20</f>
        <v>21.75390971035101</v>
      </c>
      <c r="G22" s="23"/>
      <c r="H22" s="23"/>
      <c r="I22" s="23"/>
      <c r="J22" s="23">
        <f>J18*J20</f>
        <v>0.13187336329742472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63.758683957990399</v>
      </c>
      <c r="C30" s="39">
        <f>IF(ISERROR(B30*3.6/1000000/'E Balans VL '!Z18*100),0,B30*3.6/1000000/'E Balans VL '!Z18*100)</f>
        <v>3.6133681078578885E-3</v>
      </c>
      <c r="D30" s="237" t="s">
        <v>754</v>
      </c>
    </row>
    <row r="31" spans="1:18">
      <c r="A31" s="6" t="s">
        <v>33</v>
      </c>
      <c r="B31" s="37">
        <f>IF( ISERROR(IND_ander_ele_kWh/1000),0,IND_ander_ele_kWh/1000)</f>
        <v>60.290733280111404</v>
      </c>
      <c r="C31" s="39">
        <f>IF(ISERROR(B31*3.6/1000000/'E Balans VL '!Z19*100),0,B31*3.6/1000000/'E Balans VL '!Z19*100)</f>
        <v>2.7345366153418578E-3</v>
      </c>
      <c r="D31" s="237" t="s">
        <v>754</v>
      </c>
    </row>
    <row r="32" spans="1:18">
      <c r="A32" s="171" t="s">
        <v>41</v>
      </c>
      <c r="B32" s="37">
        <f>IF( ISERROR(IND_voed_ele_kWh/1000),0,IND_voed_ele_kWh/1000)</f>
        <v>101.25733886655</v>
      </c>
      <c r="C32" s="39">
        <f>IF(ISERROR(B32*3.6/1000000/'E Balans VL '!Z20*100),0,B32*3.6/1000000/'E Balans VL '!Z20*100)</f>
        <v>3.1323491606484238E-3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104.057431243393</v>
      </c>
      <c r="C37" s="39">
        <f>IF(ISERROR(B37*3.6/1000000/'E Balans VL '!Z15*100),0,B37*3.6/1000000/'E Balans VL '!Z15*100)</f>
        <v>8.2478293728334548E-4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884.45274608036402</v>
      </c>
      <c r="C5" s="17">
        <f>'Eigen informatie GS &amp; warmtenet'!B60</f>
        <v>0</v>
      </c>
      <c r="D5" s="30">
        <f>IF(ISERROR(SUM(LB_lb_gas_kWh,LB_rest_gas_kWh)/1000),0,SUM(LB_lb_gas_kWh,LB_rest_gas_kWh)/1000)*0.902</f>
        <v>905.6537271378786</v>
      </c>
      <c r="E5" s="17">
        <f>B17*'E Balans VL '!I25/3.6*1000000/100</f>
        <v>25.996767637791582</v>
      </c>
      <c r="F5" s="17">
        <f>B17*('E Balans VL '!L25/3.6*1000000+'E Balans VL '!N25/3.6*1000000)/100</f>
        <v>3684.5823468529579</v>
      </c>
      <c r="G5" s="18"/>
      <c r="H5" s="17"/>
      <c r="I5" s="17"/>
      <c r="J5" s="17">
        <f>('E Balans VL '!D25+'E Balans VL '!E25)/3.6*1000000*landbouw!B17/100</f>
        <v>128.13820906690231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884.45274608036402</v>
      </c>
      <c r="C8" s="21">
        <f>C5+C6</f>
        <v>0</v>
      </c>
      <c r="D8" s="21">
        <f>MAX((D5+D6),0)</f>
        <v>905.6537271378786</v>
      </c>
      <c r="E8" s="21">
        <f>MAX((E5+E6),0)</f>
        <v>25.996767637791582</v>
      </c>
      <c r="F8" s="21">
        <f>MAX((F5+F6),0)</f>
        <v>3684.5823468529579</v>
      </c>
      <c r="G8" s="21"/>
      <c r="H8" s="21"/>
      <c r="I8" s="21"/>
      <c r="J8" s="21">
        <f>MAX((J5+J6),0)</f>
        <v>128.13820906690231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0.20131960643176194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178.05767874838997</v>
      </c>
      <c r="C12" s="23">
        <f ca="1">C8*C10</f>
        <v>0</v>
      </c>
      <c r="D12" s="23">
        <f>D8*D10</f>
        <v>182.94205288185148</v>
      </c>
      <c r="E12" s="23">
        <f>E8*E10</f>
        <v>5.9012662537786893</v>
      </c>
      <c r="F12" s="23">
        <f>F8*F10</f>
        <v>983.78348660973984</v>
      </c>
      <c r="G12" s="23"/>
      <c r="H12" s="23"/>
      <c r="I12" s="23"/>
      <c r="J12" s="23">
        <f>J8*J10</f>
        <v>45.360926009683411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0.12550661955466907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146.62562742501558</v>
      </c>
      <c r="C26" s="247">
        <f>B26*'GWP N2O_CH4'!B5</f>
        <v>3079.1381759253272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87.30661768065653</v>
      </c>
      <c r="C27" s="247">
        <f>B27*'GWP N2O_CH4'!B5</f>
        <v>1833.4389712937871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2.0035017762954492</v>
      </c>
      <c r="C28" s="247">
        <f>B28*'GWP N2O_CH4'!B4</f>
        <v>621.0855506515893</v>
      </c>
      <c r="D28" s="50"/>
    </row>
    <row r="29" spans="1:4">
      <c r="A29" s="41" t="s">
        <v>277</v>
      </c>
      <c r="B29" s="247">
        <f>B34*'ha_N2O bodem landbouw'!B4</f>
        <v>2.9790122850887646</v>
      </c>
      <c r="C29" s="247">
        <f>B29*'GWP N2O_CH4'!B4</f>
        <v>923.49380837751698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6.7980033732421136E-4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9.1186810830573481E-6</v>
      </c>
      <c r="C5" s="463" t="s">
        <v>211</v>
      </c>
      <c r="D5" s="448">
        <f>SUM(D6:D11)</f>
        <v>3.3287813424350942E-5</v>
      </c>
      <c r="E5" s="448">
        <f>SUM(E6:E11)</f>
        <v>4.4106385665212948E-5</v>
      </c>
      <c r="F5" s="461" t="s">
        <v>211</v>
      </c>
      <c r="G5" s="448">
        <f>SUM(G6:G11)</f>
        <v>1.8625484149418555E-2</v>
      </c>
      <c r="H5" s="448">
        <f>SUM(H6:H11)</f>
        <v>3.7448436962924225E-3</v>
      </c>
      <c r="I5" s="463" t="s">
        <v>211</v>
      </c>
      <c r="J5" s="463" t="s">
        <v>211</v>
      </c>
      <c r="K5" s="463" t="s">
        <v>211</v>
      </c>
      <c r="L5" s="463" t="s">
        <v>211</v>
      </c>
      <c r="M5" s="448">
        <f>SUM(M6:M11)</f>
        <v>1.1986788605903029E-3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6.5745275349615523E-6</v>
      </c>
      <c r="C6" s="449"/>
      <c r="D6" s="892">
        <f>vkm_2011_GW_PW*SUMIFS(TableVerdeelsleutelVkm[CNG],TableVerdeelsleutelVkm[Voertuigtype],"Lichte voertuigen")*SUMIFS(TableECFTransport[EnergieConsumptieFactor (PJ per km)],TableECFTransport[Index],CONCATENATE($A6,"_CNG_CNG"))</f>
        <v>1.9719809169315013E-5</v>
      </c>
      <c r="E6" s="892">
        <f>vkm_2011_GW_PW*SUMIFS(TableVerdeelsleutelVkm[LPG],TableVerdeelsleutelVkm[Voertuigtype],"Lichte voertuigen")*SUMIFS(TableECFTransport[EnergieConsumptieFactor (PJ per km)],TableECFTransport[Index],CONCATENATE($A6,"_LPG_LPG"))</f>
        <v>2.6940091936274023E-5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6.9654728217116175E-3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2.2429013863192867E-3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4.7311950985171747E-4</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7.1066389065432131E-3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2.1659591310780297E-6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4.1528800125965404E-4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2.5441535480957954E-6</v>
      </c>
      <c r="C8" s="449"/>
      <c r="D8" s="451">
        <f>vkm_2011_NGW_PW*SUMIFS(TableVerdeelsleutelVkm[CNG],TableVerdeelsleutelVkm[Voertuigtype],"Lichte voertuigen")*SUMIFS(TableECFTransport[EnergieConsumptieFactor (PJ per km)],TableECFTransport[Index],CONCATENATE($A8,"_CNG_CNG"))</f>
        <v>1.3568004255035931E-5</v>
      </c>
      <c r="E8" s="451">
        <f>vkm_2011_NGW_PW*SUMIFS(TableVerdeelsleutelVkm[LPG],TableVerdeelsleutelVkm[Voertuigtype],"Lichte voertuigen")*SUMIFS(TableECFTransport[EnergieConsumptieFactor (PJ per km)],TableECFTransport[Index],CONCATENATE($A8,"_LPG_LPG"))</f>
        <v>1.7166293728938925E-5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4.136134688755305E-3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1.4996566354376773E-3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2.8588960378368136E-4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4.1723773240842014E-4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1.1971540438050734E-7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2.4381745695250173E-5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2.5329669675159301</v>
      </c>
      <c r="C14" s="21"/>
      <c r="D14" s="21">
        <f t="shared" ref="D14:M14" si="0">((D5)*10^9/3600)+D12</f>
        <v>9.2466148400974841</v>
      </c>
      <c r="E14" s="21">
        <f t="shared" si="0"/>
        <v>12.251773795892486</v>
      </c>
      <c r="F14" s="21"/>
      <c r="G14" s="21">
        <f t="shared" si="0"/>
        <v>5173.7455970607098</v>
      </c>
      <c r="H14" s="21">
        <f t="shared" si="0"/>
        <v>1040.2343600812285</v>
      </c>
      <c r="I14" s="21"/>
      <c r="J14" s="21"/>
      <c r="K14" s="21"/>
      <c r="L14" s="21"/>
      <c r="M14" s="21">
        <f t="shared" si="0"/>
        <v>332.966350163973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0.20131960643176194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0.50993591300496055</v>
      </c>
      <c r="C18" s="23"/>
      <c r="D18" s="23">
        <f t="shared" ref="D18:M18" si="1">D14*D16</f>
        <v>1.8678161976996919</v>
      </c>
      <c r="E18" s="23">
        <f t="shared" si="1"/>
        <v>2.7811526516675946</v>
      </c>
      <c r="F18" s="23"/>
      <c r="G18" s="23">
        <f t="shared" si="1"/>
        <v>1381.3900744152095</v>
      </c>
      <c r="H18" s="23">
        <f t="shared" si="1"/>
        <v>259.01835566022589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3.0859049338234754E-4</v>
      </c>
      <c r="H50" s="321">
        <f t="shared" si="2"/>
        <v>0</v>
      </c>
      <c r="I50" s="321">
        <f t="shared" si="2"/>
        <v>0</v>
      </c>
      <c r="J50" s="321">
        <f t="shared" si="2"/>
        <v>0</v>
      </c>
      <c r="K50" s="321">
        <f t="shared" si="2"/>
        <v>0</v>
      </c>
      <c r="L50" s="321">
        <f t="shared" si="2"/>
        <v>0</v>
      </c>
      <c r="M50" s="321">
        <f t="shared" si="2"/>
        <v>1.7526577727812755E-5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3.0859049338234754E-4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1.7526577727812755E-5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85.719581495096534</v>
      </c>
      <c r="H54" s="21">
        <f t="shared" si="3"/>
        <v>0</v>
      </c>
      <c r="I54" s="21">
        <f t="shared" si="3"/>
        <v>0</v>
      </c>
      <c r="J54" s="21">
        <f t="shared" si="3"/>
        <v>0</v>
      </c>
      <c r="K54" s="21">
        <f t="shared" si="3"/>
        <v>0</v>
      </c>
      <c r="L54" s="21">
        <f t="shared" si="3"/>
        <v>0</v>
      </c>
      <c r="M54" s="21">
        <f t="shared" si="3"/>
        <v>4.8684938132813205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0.20131960643176194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22.887128259190774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2216.9539714055404</v>
      </c>
      <c r="D10" s="1013">
        <f ca="1">tertiair!C16</f>
        <v>0</v>
      </c>
      <c r="E10" s="1013">
        <f ca="1">tertiair!D16</f>
        <v>301.51642415256214</v>
      </c>
      <c r="F10" s="1013">
        <f>tertiair!E16</f>
        <v>41.964205612739121</v>
      </c>
      <c r="G10" s="1013">
        <f ca="1">tertiair!F16</f>
        <v>352.46862529426994</v>
      </c>
      <c r="H10" s="1013">
        <f>tertiair!G16</f>
        <v>0</v>
      </c>
      <c r="I10" s="1013">
        <f>tertiair!H16</f>
        <v>0</v>
      </c>
      <c r="J10" s="1013">
        <f>tertiair!I16</f>
        <v>0</v>
      </c>
      <c r="K10" s="1013">
        <f>tertiair!J16</f>
        <v>2.034656747994178E-3</v>
      </c>
      <c r="L10" s="1013">
        <f>tertiair!K16</f>
        <v>0</v>
      </c>
      <c r="M10" s="1013">
        <f ca="1">tertiair!L16</f>
        <v>0</v>
      </c>
      <c r="N10" s="1013">
        <f>tertiair!M16</f>
        <v>0</v>
      </c>
      <c r="O10" s="1013">
        <f ca="1">tertiair!N16</f>
        <v>82.561003681908531</v>
      </c>
      <c r="P10" s="1013">
        <f>tertiair!O16</f>
        <v>0</v>
      </c>
      <c r="Q10" s="1014">
        <f>tertiair!P16</f>
        <v>19.066666666666666</v>
      </c>
      <c r="R10" s="700">
        <f ca="1">SUM(C10:Q10)</f>
        <v>3014.5329314704345</v>
      </c>
      <c r="S10" s="67"/>
    </row>
    <row r="11" spans="1:19" s="473" customFormat="1">
      <c r="A11" s="809" t="s">
        <v>225</v>
      </c>
      <c r="B11" s="814"/>
      <c r="C11" s="1013">
        <f>huishoudens!B8</f>
        <v>4761.1428691756728</v>
      </c>
      <c r="D11" s="1013">
        <f>huishoudens!C8</f>
        <v>0</v>
      </c>
      <c r="E11" s="1013">
        <f>huishoudens!D8</f>
        <v>24284.093951145653</v>
      </c>
      <c r="F11" s="1013">
        <f>huishoudens!E8</f>
        <v>0</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0</v>
      </c>
      <c r="P11" s="1013">
        <f>huishoudens!O8</f>
        <v>26.576666666666668</v>
      </c>
      <c r="Q11" s="1014">
        <f>huishoudens!P8</f>
        <v>247.86666666666667</v>
      </c>
      <c r="R11" s="700">
        <f>SUM(C11:Q11)</f>
        <v>29319.680153654659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329.36418734804482</v>
      </c>
      <c r="D13" s="1013">
        <f>industrie!C18</f>
        <v>0</v>
      </c>
      <c r="E13" s="1013">
        <f>industrie!D18</f>
        <v>0</v>
      </c>
      <c r="F13" s="1013">
        <f>industrie!E18</f>
        <v>24.170195062163554</v>
      </c>
      <c r="G13" s="1013">
        <f>industrie!F18</f>
        <v>81.475317267232242</v>
      </c>
      <c r="H13" s="1013">
        <f>industrie!G18</f>
        <v>0</v>
      </c>
      <c r="I13" s="1013">
        <f>industrie!H18</f>
        <v>0</v>
      </c>
      <c r="J13" s="1013">
        <f>industrie!I18</f>
        <v>0</v>
      </c>
      <c r="K13" s="1013">
        <f>industrie!J18</f>
        <v>0.37252362513396814</v>
      </c>
      <c r="L13" s="1013">
        <f>industrie!K18</f>
        <v>0</v>
      </c>
      <c r="M13" s="1013">
        <f>industrie!L18</f>
        <v>0</v>
      </c>
      <c r="N13" s="1013">
        <f>industrie!M18</f>
        <v>0</v>
      </c>
      <c r="O13" s="1013">
        <f>industrie!N18</f>
        <v>51.160087099698423</v>
      </c>
      <c r="P13" s="1013">
        <f>industrie!O18</f>
        <v>0</v>
      </c>
      <c r="Q13" s="1014">
        <f>industrie!P18</f>
        <v>0</v>
      </c>
      <c r="R13" s="700">
        <f>SUM(C13:Q13)</f>
        <v>486.54231040227302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7307.4610279292574</v>
      </c>
      <c r="D16" s="732">
        <f t="shared" ref="D16:R16" ca="1" si="0">SUM(D9:D15)</f>
        <v>0</v>
      </c>
      <c r="E16" s="732">
        <f t="shared" ca="1" si="0"/>
        <v>24585.610375298216</v>
      </c>
      <c r="F16" s="732">
        <f t="shared" si="0"/>
        <v>66.134400674902679</v>
      </c>
      <c r="G16" s="732">
        <f t="shared" ca="1" si="0"/>
        <v>433.94394256150218</v>
      </c>
      <c r="H16" s="732">
        <f t="shared" si="0"/>
        <v>0</v>
      </c>
      <c r="I16" s="732">
        <f t="shared" si="0"/>
        <v>0</v>
      </c>
      <c r="J16" s="732">
        <f t="shared" si="0"/>
        <v>0</v>
      </c>
      <c r="K16" s="732">
        <f t="shared" si="0"/>
        <v>0.37455828188196233</v>
      </c>
      <c r="L16" s="732">
        <f t="shared" si="0"/>
        <v>0</v>
      </c>
      <c r="M16" s="732">
        <f t="shared" ca="1" si="0"/>
        <v>0</v>
      </c>
      <c r="N16" s="732">
        <f t="shared" si="0"/>
        <v>0</v>
      </c>
      <c r="O16" s="732">
        <f t="shared" ca="1" si="0"/>
        <v>133.72109078160696</v>
      </c>
      <c r="P16" s="732">
        <f t="shared" si="0"/>
        <v>26.576666666666668</v>
      </c>
      <c r="Q16" s="732">
        <f t="shared" si="0"/>
        <v>266.93333333333334</v>
      </c>
      <c r="R16" s="732">
        <f t="shared" ca="1" si="0"/>
        <v>32820.755395527369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85.719581495096534</v>
      </c>
      <c r="I19" s="1013">
        <f>transport!H54</f>
        <v>0</v>
      </c>
      <c r="J19" s="1013">
        <f>transport!I54</f>
        <v>0</v>
      </c>
      <c r="K19" s="1013">
        <f>transport!J54</f>
        <v>0</v>
      </c>
      <c r="L19" s="1013">
        <f>transport!K54</f>
        <v>0</v>
      </c>
      <c r="M19" s="1013">
        <f>transport!L54</f>
        <v>0</v>
      </c>
      <c r="N19" s="1013">
        <f>transport!M54</f>
        <v>4.8684938132813205</v>
      </c>
      <c r="O19" s="1013">
        <f>transport!N54</f>
        <v>0</v>
      </c>
      <c r="P19" s="1013">
        <f>transport!O54</f>
        <v>0</v>
      </c>
      <c r="Q19" s="1014">
        <f>transport!P54</f>
        <v>0</v>
      </c>
      <c r="R19" s="700">
        <f>SUM(C19:Q19)</f>
        <v>90.588075308377853</v>
      </c>
      <c r="S19" s="67"/>
    </row>
    <row r="20" spans="1:19" s="473" customFormat="1">
      <c r="A20" s="809" t="s">
        <v>307</v>
      </c>
      <c r="B20" s="814"/>
      <c r="C20" s="1013">
        <f>transport!B14</f>
        <v>2.5329669675159301</v>
      </c>
      <c r="D20" s="1013">
        <f>transport!C14</f>
        <v>0</v>
      </c>
      <c r="E20" s="1013">
        <f>transport!D14</f>
        <v>9.2466148400974841</v>
      </c>
      <c r="F20" s="1013">
        <f>transport!E14</f>
        <v>12.251773795892486</v>
      </c>
      <c r="G20" s="1013">
        <f>transport!F14</f>
        <v>0</v>
      </c>
      <c r="H20" s="1013">
        <f>transport!G14</f>
        <v>5173.7455970607098</v>
      </c>
      <c r="I20" s="1013">
        <f>transport!H14</f>
        <v>1040.2343600812285</v>
      </c>
      <c r="J20" s="1013">
        <f>transport!I14</f>
        <v>0</v>
      </c>
      <c r="K20" s="1013">
        <f>transport!J14</f>
        <v>0</v>
      </c>
      <c r="L20" s="1013">
        <f>transport!K14</f>
        <v>0</v>
      </c>
      <c r="M20" s="1013">
        <f>transport!L14</f>
        <v>0</v>
      </c>
      <c r="N20" s="1013">
        <f>transport!M14</f>
        <v>332.966350163973</v>
      </c>
      <c r="O20" s="1013">
        <f>transport!N14</f>
        <v>0</v>
      </c>
      <c r="P20" s="1013">
        <f>transport!O14</f>
        <v>0</v>
      </c>
      <c r="Q20" s="1014">
        <f>transport!P14</f>
        <v>0</v>
      </c>
      <c r="R20" s="700">
        <f>SUM(C20:Q20)</f>
        <v>6570.9776629094176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2.5329669675159301</v>
      </c>
      <c r="D22" s="812">
        <f t="shared" ref="D22:R22" si="1">SUM(D18:D21)</f>
        <v>0</v>
      </c>
      <c r="E22" s="812">
        <f t="shared" si="1"/>
        <v>9.2466148400974841</v>
      </c>
      <c r="F22" s="812">
        <f t="shared" si="1"/>
        <v>12.251773795892486</v>
      </c>
      <c r="G22" s="812">
        <f t="shared" si="1"/>
        <v>0</v>
      </c>
      <c r="H22" s="812">
        <f t="shared" si="1"/>
        <v>5259.4651785558062</v>
      </c>
      <c r="I22" s="812">
        <f t="shared" si="1"/>
        <v>1040.2343600812285</v>
      </c>
      <c r="J22" s="812">
        <f t="shared" si="1"/>
        <v>0</v>
      </c>
      <c r="K22" s="812">
        <f t="shared" si="1"/>
        <v>0</v>
      </c>
      <c r="L22" s="812">
        <f t="shared" si="1"/>
        <v>0</v>
      </c>
      <c r="M22" s="812">
        <f t="shared" si="1"/>
        <v>0</v>
      </c>
      <c r="N22" s="812">
        <f t="shared" si="1"/>
        <v>337.83484397725431</v>
      </c>
      <c r="O22" s="812">
        <f t="shared" si="1"/>
        <v>0</v>
      </c>
      <c r="P22" s="812">
        <f t="shared" si="1"/>
        <v>0</v>
      </c>
      <c r="Q22" s="812">
        <f t="shared" si="1"/>
        <v>0</v>
      </c>
      <c r="R22" s="812">
        <f t="shared" si="1"/>
        <v>6661.5657382177951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884.45274608036402</v>
      </c>
      <c r="D24" s="1013">
        <f>+landbouw!C8</f>
        <v>0</v>
      </c>
      <c r="E24" s="1013">
        <f>+landbouw!D8</f>
        <v>905.6537271378786</v>
      </c>
      <c r="F24" s="1013">
        <f>+landbouw!E8</f>
        <v>25.996767637791582</v>
      </c>
      <c r="G24" s="1013">
        <f>+landbouw!F8</f>
        <v>3684.5823468529579</v>
      </c>
      <c r="H24" s="1013">
        <f>+landbouw!G8</f>
        <v>0</v>
      </c>
      <c r="I24" s="1013">
        <f>+landbouw!H8</f>
        <v>0</v>
      </c>
      <c r="J24" s="1013">
        <f>+landbouw!I8</f>
        <v>0</v>
      </c>
      <c r="K24" s="1013">
        <f>+landbouw!J8</f>
        <v>128.13820906690231</v>
      </c>
      <c r="L24" s="1013">
        <f>+landbouw!K8</f>
        <v>0</v>
      </c>
      <c r="M24" s="1013">
        <f>+landbouw!L8</f>
        <v>0</v>
      </c>
      <c r="N24" s="1013">
        <f>+landbouw!M8</f>
        <v>0</v>
      </c>
      <c r="O24" s="1013">
        <f>+landbouw!N8</f>
        <v>0</v>
      </c>
      <c r="P24" s="1013">
        <f>+landbouw!O8</f>
        <v>0</v>
      </c>
      <c r="Q24" s="1014">
        <f>+landbouw!P8</f>
        <v>0</v>
      </c>
      <c r="R24" s="700">
        <f>SUM(C24:Q24)</f>
        <v>5628.8237967758942</v>
      </c>
      <c r="S24" s="67"/>
    </row>
    <row r="25" spans="1:19" s="473" customFormat="1" ht="15" thickBot="1">
      <c r="A25" s="831" t="s">
        <v>836</v>
      </c>
      <c r="B25" s="1016"/>
      <c r="C25" s="1017">
        <f>IF(Onbekend_ele_kWh="---",0,Onbekend_ele_kWh)/1000+IF(REST_rest_ele_kWh="---",0,REST_rest_ele_kWh)/1000</f>
        <v>467.58317015051</v>
      </c>
      <c r="D25" s="1017"/>
      <c r="E25" s="1017">
        <f>IF(onbekend_gas_kWh="---",0,onbekend_gas_kWh)/1000+IF(REST_rest_gas_kWh="---",0,REST_rest_gas_kWh)/1000</f>
        <v>38.847390782351404</v>
      </c>
      <c r="F25" s="1017"/>
      <c r="G25" s="1017"/>
      <c r="H25" s="1017"/>
      <c r="I25" s="1017"/>
      <c r="J25" s="1017"/>
      <c r="K25" s="1017"/>
      <c r="L25" s="1017"/>
      <c r="M25" s="1017"/>
      <c r="N25" s="1017"/>
      <c r="O25" s="1017"/>
      <c r="P25" s="1017"/>
      <c r="Q25" s="1018"/>
      <c r="R25" s="700">
        <f>SUM(C25:Q25)</f>
        <v>506.4305609328614</v>
      </c>
      <c r="S25" s="67"/>
    </row>
    <row r="26" spans="1:19" s="473" customFormat="1" ht="15.75" thickBot="1">
      <c r="A26" s="705" t="s">
        <v>837</v>
      </c>
      <c r="B26" s="817"/>
      <c r="C26" s="812">
        <f>SUM(C24:C25)</f>
        <v>1352.0359162308741</v>
      </c>
      <c r="D26" s="812">
        <f t="shared" ref="D26:R26" si="2">SUM(D24:D25)</f>
        <v>0</v>
      </c>
      <c r="E26" s="812">
        <f t="shared" si="2"/>
        <v>944.50111792023006</v>
      </c>
      <c r="F26" s="812">
        <f t="shared" si="2"/>
        <v>25.996767637791582</v>
      </c>
      <c r="G26" s="812">
        <f t="shared" si="2"/>
        <v>3684.5823468529579</v>
      </c>
      <c r="H26" s="812">
        <f t="shared" si="2"/>
        <v>0</v>
      </c>
      <c r="I26" s="812">
        <f t="shared" si="2"/>
        <v>0</v>
      </c>
      <c r="J26" s="812">
        <f t="shared" si="2"/>
        <v>0</v>
      </c>
      <c r="K26" s="812">
        <f t="shared" si="2"/>
        <v>128.13820906690231</v>
      </c>
      <c r="L26" s="812">
        <f t="shared" si="2"/>
        <v>0</v>
      </c>
      <c r="M26" s="812">
        <f t="shared" si="2"/>
        <v>0</v>
      </c>
      <c r="N26" s="812">
        <f t="shared" si="2"/>
        <v>0</v>
      </c>
      <c r="O26" s="812">
        <f t="shared" si="2"/>
        <v>0</v>
      </c>
      <c r="P26" s="812">
        <f t="shared" si="2"/>
        <v>0</v>
      </c>
      <c r="Q26" s="812">
        <f t="shared" si="2"/>
        <v>0</v>
      </c>
      <c r="R26" s="812">
        <f t="shared" si="2"/>
        <v>6135.2543577087554</v>
      </c>
      <c r="S26" s="67"/>
    </row>
    <row r="27" spans="1:19" s="473" customFormat="1" ht="17.25" thickTop="1" thickBot="1">
      <c r="A27" s="706" t="s">
        <v>116</v>
      </c>
      <c r="B27" s="805"/>
      <c r="C27" s="707">
        <f ca="1">C22+C16+C26</f>
        <v>8662.0299111276472</v>
      </c>
      <c r="D27" s="707">
        <f t="shared" ref="D27:R27" ca="1" si="3">D22+D16+D26</f>
        <v>0</v>
      </c>
      <c r="E27" s="707">
        <f t="shared" ca="1" si="3"/>
        <v>25539.358108058543</v>
      </c>
      <c r="F27" s="707">
        <f t="shared" si="3"/>
        <v>104.38294210858675</v>
      </c>
      <c r="G27" s="707">
        <f t="shared" ca="1" si="3"/>
        <v>4118.5262894144598</v>
      </c>
      <c r="H27" s="707">
        <f t="shared" si="3"/>
        <v>5259.4651785558062</v>
      </c>
      <c r="I27" s="707">
        <f t="shared" si="3"/>
        <v>1040.2343600812285</v>
      </c>
      <c r="J27" s="707">
        <f t="shared" si="3"/>
        <v>0</v>
      </c>
      <c r="K27" s="707">
        <f t="shared" si="3"/>
        <v>128.51276734878428</v>
      </c>
      <c r="L27" s="707">
        <f t="shared" si="3"/>
        <v>0</v>
      </c>
      <c r="M27" s="707">
        <f t="shared" ca="1" si="3"/>
        <v>0</v>
      </c>
      <c r="N27" s="707">
        <f t="shared" si="3"/>
        <v>337.83484397725431</v>
      </c>
      <c r="O27" s="707">
        <f t="shared" ca="1" si="3"/>
        <v>133.72109078160696</v>
      </c>
      <c r="P27" s="707">
        <f t="shared" si="3"/>
        <v>26.576666666666668</v>
      </c>
      <c r="Q27" s="707">
        <f t="shared" si="3"/>
        <v>266.93333333333334</v>
      </c>
      <c r="R27" s="707">
        <f t="shared" ca="1" si="3"/>
        <v>45617.575491453921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446.31630100069503</v>
      </c>
      <c r="D40" s="1013">
        <f ca="1">tertiair!C20</f>
        <v>0</v>
      </c>
      <c r="E40" s="1013">
        <f ca="1">tertiair!D20</f>
        <v>60.906317678817558</v>
      </c>
      <c r="F40" s="1013">
        <f>tertiair!E20</f>
        <v>9.5258746740917815</v>
      </c>
      <c r="G40" s="1013">
        <f ca="1">tertiair!F20</f>
        <v>94.109122953570079</v>
      </c>
      <c r="H40" s="1013">
        <f>tertiair!G20</f>
        <v>0</v>
      </c>
      <c r="I40" s="1013">
        <f>tertiair!H20</f>
        <v>0</v>
      </c>
      <c r="J40" s="1013">
        <f>tertiair!I20</f>
        <v>0</v>
      </c>
      <c r="K40" s="1013">
        <f>tertiair!J20</f>
        <v>7.2026848878993901E-4</v>
      </c>
      <c r="L40" s="1013">
        <f>tertiair!K20</f>
        <v>0</v>
      </c>
      <c r="M40" s="1013">
        <f ca="1">tertiair!L20</f>
        <v>0</v>
      </c>
      <c r="N40" s="1013">
        <f>tertiair!M20</f>
        <v>0</v>
      </c>
      <c r="O40" s="1013">
        <f ca="1">tertiair!N20</f>
        <v>0</v>
      </c>
      <c r="P40" s="1013">
        <f>tertiair!O20</f>
        <v>0</v>
      </c>
      <c r="Q40" s="774">
        <f>tertiair!P20</f>
        <v>0</v>
      </c>
      <c r="R40" s="850">
        <f t="shared" ca="1" si="4"/>
        <v>610.85833657566332</v>
      </c>
    </row>
    <row r="41" spans="1:18">
      <c r="A41" s="822" t="s">
        <v>225</v>
      </c>
      <c r="B41" s="829"/>
      <c r="C41" s="1013">
        <f ca="1">huishoudens!B12</f>
        <v>958.51140858783629</v>
      </c>
      <c r="D41" s="1013">
        <f ca="1">huishoudens!C12</f>
        <v>0</v>
      </c>
      <c r="E41" s="1013">
        <f>huishoudens!D12</f>
        <v>4905.3869781314224</v>
      </c>
      <c r="F41" s="1013">
        <f>huishoudens!E12</f>
        <v>0</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5863.8983867192583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66.307468569625485</v>
      </c>
      <c r="D43" s="1013">
        <f ca="1">industrie!C22</f>
        <v>0</v>
      </c>
      <c r="E43" s="1013">
        <f>industrie!D22</f>
        <v>0</v>
      </c>
      <c r="F43" s="1013">
        <f>industrie!E22</f>
        <v>5.4866342791111267</v>
      </c>
      <c r="G43" s="1013">
        <f>industrie!F22</f>
        <v>21.75390971035101</v>
      </c>
      <c r="H43" s="1013">
        <f>industrie!G22</f>
        <v>0</v>
      </c>
      <c r="I43" s="1013">
        <f>industrie!H22</f>
        <v>0</v>
      </c>
      <c r="J43" s="1013">
        <f>industrie!I22</f>
        <v>0</v>
      </c>
      <c r="K43" s="1013">
        <f>industrie!J22</f>
        <v>0.13187336329742472</v>
      </c>
      <c r="L43" s="1013">
        <f>industrie!K22</f>
        <v>0</v>
      </c>
      <c r="M43" s="1013">
        <f>industrie!L22</f>
        <v>0</v>
      </c>
      <c r="N43" s="1013">
        <f>industrie!M22</f>
        <v>0</v>
      </c>
      <c r="O43" s="1013">
        <f>industrie!N22</f>
        <v>0</v>
      </c>
      <c r="P43" s="1013">
        <f>industrie!O22</f>
        <v>0</v>
      </c>
      <c r="Q43" s="774">
        <f>industrie!P22</f>
        <v>0</v>
      </c>
      <c r="R43" s="849">
        <f t="shared" ca="1" si="4"/>
        <v>93.679885922385054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1471.135178158157</v>
      </c>
      <c r="D46" s="732">
        <f t="shared" ref="D46:Q46" ca="1" si="5">SUM(D39:D45)</f>
        <v>0</v>
      </c>
      <c r="E46" s="732">
        <f t="shared" ca="1" si="5"/>
        <v>4966.2932958102401</v>
      </c>
      <c r="F46" s="732">
        <f t="shared" si="5"/>
        <v>15.012508953202907</v>
      </c>
      <c r="G46" s="732">
        <f t="shared" ca="1" si="5"/>
        <v>115.86303266392109</v>
      </c>
      <c r="H46" s="732">
        <f t="shared" si="5"/>
        <v>0</v>
      </c>
      <c r="I46" s="732">
        <f t="shared" si="5"/>
        <v>0</v>
      </c>
      <c r="J46" s="732">
        <f t="shared" si="5"/>
        <v>0</v>
      </c>
      <c r="K46" s="732">
        <f t="shared" si="5"/>
        <v>0.13259363178621467</v>
      </c>
      <c r="L46" s="732">
        <f t="shared" si="5"/>
        <v>0</v>
      </c>
      <c r="M46" s="732">
        <f t="shared" ca="1" si="5"/>
        <v>0</v>
      </c>
      <c r="N46" s="732">
        <f t="shared" si="5"/>
        <v>0</v>
      </c>
      <c r="O46" s="732">
        <f t="shared" ca="1" si="5"/>
        <v>0</v>
      </c>
      <c r="P46" s="732">
        <f t="shared" si="5"/>
        <v>0</v>
      </c>
      <c r="Q46" s="732">
        <f t="shared" si="5"/>
        <v>0</v>
      </c>
      <c r="R46" s="732">
        <f ca="1">SUM(R39:R45)</f>
        <v>6568.4366092173068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22.887128259190774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22.887128259190774</v>
      </c>
    </row>
    <row r="50" spans="1:18">
      <c r="A50" s="825" t="s">
        <v>307</v>
      </c>
      <c r="B50" s="835"/>
      <c r="C50" s="703">
        <f ca="1">transport!B18</f>
        <v>0.50993591300496055</v>
      </c>
      <c r="D50" s="703">
        <f>transport!C18</f>
        <v>0</v>
      </c>
      <c r="E50" s="703">
        <f>transport!D18</f>
        <v>1.8678161976996919</v>
      </c>
      <c r="F50" s="703">
        <f>transport!E18</f>
        <v>2.7811526516675946</v>
      </c>
      <c r="G50" s="703">
        <f>transport!F18</f>
        <v>0</v>
      </c>
      <c r="H50" s="703">
        <f>transport!G18</f>
        <v>1381.3900744152095</v>
      </c>
      <c r="I50" s="703">
        <f>transport!H18</f>
        <v>259.01835566022589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1645.5673348378077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0.50993591300496055</v>
      </c>
      <c r="D52" s="732">
        <f t="shared" ref="D52:Q52" ca="1" si="6">SUM(D48:D51)</f>
        <v>0</v>
      </c>
      <c r="E52" s="732">
        <f t="shared" si="6"/>
        <v>1.8678161976996919</v>
      </c>
      <c r="F52" s="732">
        <f t="shared" si="6"/>
        <v>2.7811526516675946</v>
      </c>
      <c r="G52" s="732">
        <f t="shared" si="6"/>
        <v>0</v>
      </c>
      <c r="H52" s="732">
        <f t="shared" si="6"/>
        <v>1404.2772026744003</v>
      </c>
      <c r="I52" s="732">
        <f t="shared" si="6"/>
        <v>259.01835566022589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1668.4544630969986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178.05767874838997</v>
      </c>
      <c r="D54" s="703">
        <f ca="1">+landbouw!C12</f>
        <v>0</v>
      </c>
      <c r="E54" s="703">
        <f>+landbouw!D12</f>
        <v>182.94205288185148</v>
      </c>
      <c r="F54" s="703">
        <f>+landbouw!E12</f>
        <v>5.9012662537786893</v>
      </c>
      <c r="G54" s="703">
        <f>+landbouw!F12</f>
        <v>983.78348660973984</v>
      </c>
      <c r="H54" s="703">
        <f>+landbouw!G12</f>
        <v>0</v>
      </c>
      <c r="I54" s="703">
        <f>+landbouw!H12</f>
        <v>0</v>
      </c>
      <c r="J54" s="703">
        <f>+landbouw!I12</f>
        <v>0</v>
      </c>
      <c r="K54" s="703">
        <f>+landbouw!J12</f>
        <v>45.360926009683411</v>
      </c>
      <c r="L54" s="703">
        <f>+landbouw!K12</f>
        <v>0</v>
      </c>
      <c r="M54" s="703">
        <f>+landbouw!L12</f>
        <v>0</v>
      </c>
      <c r="N54" s="703">
        <f>+landbouw!M12</f>
        <v>0</v>
      </c>
      <c r="O54" s="703">
        <f>+landbouw!N12</f>
        <v>0</v>
      </c>
      <c r="P54" s="703">
        <f>+landbouw!O12</f>
        <v>0</v>
      </c>
      <c r="Q54" s="704">
        <f>+landbouw!P12</f>
        <v>0</v>
      </c>
      <c r="R54" s="731">
        <f ca="1">SUM(C54:Q54)</f>
        <v>1396.0454105034435</v>
      </c>
    </row>
    <row r="55" spans="1:18" ht="15" thickBot="1">
      <c r="A55" s="825" t="s">
        <v>836</v>
      </c>
      <c r="B55" s="835"/>
      <c r="C55" s="703">
        <f ca="1">C25*'EF ele_warmte'!B12</f>
        <v>94.133659788816246</v>
      </c>
      <c r="D55" s="703"/>
      <c r="E55" s="703">
        <f>E25*EF_CO2_aardgas</f>
        <v>7.8471729380349844</v>
      </c>
      <c r="F55" s="703"/>
      <c r="G55" s="703"/>
      <c r="H55" s="703"/>
      <c r="I55" s="703"/>
      <c r="J55" s="703"/>
      <c r="K55" s="703"/>
      <c r="L55" s="703"/>
      <c r="M55" s="703"/>
      <c r="N55" s="703"/>
      <c r="O55" s="703"/>
      <c r="P55" s="703"/>
      <c r="Q55" s="704"/>
      <c r="R55" s="731">
        <f ca="1">SUM(C55:Q55)</f>
        <v>101.98083272685123</v>
      </c>
    </row>
    <row r="56" spans="1:18" ht="15.75" thickBot="1">
      <c r="A56" s="823" t="s">
        <v>837</v>
      </c>
      <c r="B56" s="836"/>
      <c r="C56" s="732">
        <f ca="1">SUM(C54:C55)</f>
        <v>272.19133853720621</v>
      </c>
      <c r="D56" s="732">
        <f t="shared" ref="D56:Q56" ca="1" si="7">SUM(D54:D55)</f>
        <v>0</v>
      </c>
      <c r="E56" s="732">
        <f t="shared" si="7"/>
        <v>190.78922581988647</v>
      </c>
      <c r="F56" s="732">
        <f t="shared" si="7"/>
        <v>5.9012662537786893</v>
      </c>
      <c r="G56" s="732">
        <f t="shared" si="7"/>
        <v>983.78348660973984</v>
      </c>
      <c r="H56" s="732">
        <f t="shared" si="7"/>
        <v>0</v>
      </c>
      <c r="I56" s="732">
        <f t="shared" si="7"/>
        <v>0</v>
      </c>
      <c r="J56" s="732">
        <f t="shared" si="7"/>
        <v>0</v>
      </c>
      <c r="K56" s="732">
        <f t="shared" si="7"/>
        <v>45.360926009683411</v>
      </c>
      <c r="L56" s="732">
        <f t="shared" si="7"/>
        <v>0</v>
      </c>
      <c r="M56" s="732">
        <f t="shared" si="7"/>
        <v>0</v>
      </c>
      <c r="N56" s="732">
        <f t="shared" si="7"/>
        <v>0</v>
      </c>
      <c r="O56" s="732">
        <f t="shared" si="7"/>
        <v>0</v>
      </c>
      <c r="P56" s="732">
        <f t="shared" si="7"/>
        <v>0</v>
      </c>
      <c r="Q56" s="733">
        <f t="shared" si="7"/>
        <v>0</v>
      </c>
      <c r="R56" s="734">
        <f ca="1">SUM(R54:R55)</f>
        <v>1498.0262432302948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1743.8364526083683</v>
      </c>
      <c r="D61" s="740">
        <f t="shared" ref="D61:Q61" ca="1" si="8">D46+D52+D56</f>
        <v>0</v>
      </c>
      <c r="E61" s="740">
        <f t="shared" ca="1" si="8"/>
        <v>5158.9503378278259</v>
      </c>
      <c r="F61" s="740">
        <f t="shared" si="8"/>
        <v>23.694927858649191</v>
      </c>
      <c r="G61" s="740">
        <f t="shared" ca="1" si="8"/>
        <v>1099.6465192736609</v>
      </c>
      <c r="H61" s="740">
        <f t="shared" si="8"/>
        <v>1404.2772026744003</v>
      </c>
      <c r="I61" s="740">
        <f t="shared" si="8"/>
        <v>259.01835566022589</v>
      </c>
      <c r="J61" s="740">
        <f t="shared" si="8"/>
        <v>0</v>
      </c>
      <c r="K61" s="740">
        <f t="shared" si="8"/>
        <v>45.493519641469625</v>
      </c>
      <c r="L61" s="740">
        <f t="shared" si="8"/>
        <v>0</v>
      </c>
      <c r="M61" s="740">
        <f t="shared" ca="1" si="8"/>
        <v>0</v>
      </c>
      <c r="N61" s="740">
        <f t="shared" si="8"/>
        <v>0</v>
      </c>
      <c r="O61" s="740">
        <f t="shared" ca="1" si="8"/>
        <v>0</v>
      </c>
      <c r="P61" s="740">
        <f t="shared" si="8"/>
        <v>0</v>
      </c>
      <c r="Q61" s="740">
        <f t="shared" si="8"/>
        <v>0</v>
      </c>
      <c r="R61" s="740">
        <f ca="1">R46+R52+R56</f>
        <v>9734.9173155446006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0.201319606431762</v>
      </c>
      <c r="D63" s="781">
        <f t="shared" ca="1" si="9"/>
        <v>0</v>
      </c>
      <c r="E63" s="1024">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771.36722964182013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771.36722964182013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771.36722964182013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771.36722964182013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4761.1428691756728</v>
      </c>
      <c r="C4" s="477">
        <f>huishoudens!C8</f>
        <v>0</v>
      </c>
      <c r="D4" s="477">
        <f>huishoudens!D8</f>
        <v>24284.093951145653</v>
      </c>
      <c r="E4" s="477">
        <f>huishoudens!E8</f>
        <v>0</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0</v>
      </c>
      <c r="O4" s="477">
        <f>huishoudens!O8</f>
        <v>26.576666666666668</v>
      </c>
      <c r="P4" s="478">
        <f>huishoudens!P8</f>
        <v>247.86666666666667</v>
      </c>
      <c r="Q4" s="479">
        <f>SUM(B4:P4)</f>
        <v>29319.680153654659</v>
      </c>
    </row>
    <row r="5" spans="1:17">
      <c r="A5" s="476" t="s">
        <v>156</v>
      </c>
      <c r="B5" s="477">
        <f ca="1">tertiair!B16</f>
        <v>2059.6209714055403</v>
      </c>
      <c r="C5" s="477">
        <f ca="1">tertiair!C16</f>
        <v>0</v>
      </c>
      <c r="D5" s="477">
        <f ca="1">tertiair!D16</f>
        <v>301.51642415256214</v>
      </c>
      <c r="E5" s="477">
        <f>tertiair!E16</f>
        <v>41.964205612739121</v>
      </c>
      <c r="F5" s="477">
        <f ca="1">tertiair!F16</f>
        <v>352.46862529426994</v>
      </c>
      <c r="G5" s="477">
        <f>tertiair!G16</f>
        <v>0</v>
      </c>
      <c r="H5" s="477">
        <f>tertiair!H16</f>
        <v>0</v>
      </c>
      <c r="I5" s="477">
        <f>tertiair!I16</f>
        <v>0</v>
      </c>
      <c r="J5" s="477">
        <f>tertiair!J16</f>
        <v>2.034656747994178E-3</v>
      </c>
      <c r="K5" s="477">
        <f>tertiair!K16</f>
        <v>0</v>
      </c>
      <c r="L5" s="477">
        <f ca="1">tertiair!L16</f>
        <v>0</v>
      </c>
      <c r="M5" s="477">
        <f>tertiair!M16</f>
        <v>0</v>
      </c>
      <c r="N5" s="477">
        <f ca="1">tertiair!N16</f>
        <v>82.561003681908531</v>
      </c>
      <c r="O5" s="477">
        <f>tertiair!O16</f>
        <v>0</v>
      </c>
      <c r="P5" s="478">
        <f>tertiair!P16</f>
        <v>19.066666666666666</v>
      </c>
      <c r="Q5" s="476">
        <f t="shared" ref="Q5:Q14" ca="1" si="0">SUM(B5:P5)</f>
        <v>2857.1999314704349</v>
      </c>
    </row>
    <row r="6" spans="1:17">
      <c r="A6" s="476" t="s">
        <v>194</v>
      </c>
      <c r="B6" s="477">
        <f>'openbare verlichting'!B8</f>
        <v>157.333</v>
      </c>
      <c r="C6" s="477"/>
      <c r="D6" s="477"/>
      <c r="E6" s="477"/>
      <c r="F6" s="477"/>
      <c r="G6" s="477"/>
      <c r="H6" s="477"/>
      <c r="I6" s="477"/>
      <c r="J6" s="477"/>
      <c r="K6" s="477"/>
      <c r="L6" s="477"/>
      <c r="M6" s="477"/>
      <c r="N6" s="477"/>
      <c r="O6" s="477"/>
      <c r="P6" s="478"/>
      <c r="Q6" s="476">
        <f t="shared" si="0"/>
        <v>157.333</v>
      </c>
    </row>
    <row r="7" spans="1:17">
      <c r="A7" s="476" t="s">
        <v>112</v>
      </c>
      <c r="B7" s="477">
        <f>landbouw!B8</f>
        <v>884.45274608036402</v>
      </c>
      <c r="C7" s="477">
        <f>landbouw!C8</f>
        <v>0</v>
      </c>
      <c r="D7" s="477">
        <f>landbouw!D8</f>
        <v>905.6537271378786</v>
      </c>
      <c r="E7" s="477">
        <f>landbouw!E8</f>
        <v>25.996767637791582</v>
      </c>
      <c r="F7" s="477">
        <f>landbouw!F8</f>
        <v>3684.5823468529579</v>
      </c>
      <c r="G7" s="477">
        <f>landbouw!G8</f>
        <v>0</v>
      </c>
      <c r="H7" s="477">
        <f>landbouw!H8</f>
        <v>0</v>
      </c>
      <c r="I7" s="477">
        <f>landbouw!I8</f>
        <v>0</v>
      </c>
      <c r="J7" s="477">
        <f>landbouw!J8</f>
        <v>128.13820906690231</v>
      </c>
      <c r="K7" s="477">
        <f>landbouw!K8</f>
        <v>0</v>
      </c>
      <c r="L7" s="477">
        <f>landbouw!L8</f>
        <v>0</v>
      </c>
      <c r="M7" s="477">
        <f>landbouw!M8</f>
        <v>0</v>
      </c>
      <c r="N7" s="477">
        <f>landbouw!N8</f>
        <v>0</v>
      </c>
      <c r="O7" s="477">
        <f>landbouw!O8</f>
        <v>0</v>
      </c>
      <c r="P7" s="478">
        <f>landbouw!P8</f>
        <v>0</v>
      </c>
      <c r="Q7" s="476">
        <f t="shared" si="0"/>
        <v>5628.8237967758942</v>
      </c>
    </row>
    <row r="8" spans="1:17">
      <c r="A8" s="476" t="s">
        <v>635</v>
      </c>
      <c r="B8" s="477">
        <f>industrie!B18</f>
        <v>329.36418734804482</v>
      </c>
      <c r="C8" s="477">
        <f>industrie!C18</f>
        <v>0</v>
      </c>
      <c r="D8" s="477">
        <f>industrie!D18</f>
        <v>0</v>
      </c>
      <c r="E8" s="477">
        <f>industrie!E18</f>
        <v>24.170195062163554</v>
      </c>
      <c r="F8" s="477">
        <f>industrie!F18</f>
        <v>81.475317267232242</v>
      </c>
      <c r="G8" s="477">
        <f>industrie!G18</f>
        <v>0</v>
      </c>
      <c r="H8" s="477">
        <f>industrie!H18</f>
        <v>0</v>
      </c>
      <c r="I8" s="477">
        <f>industrie!I18</f>
        <v>0</v>
      </c>
      <c r="J8" s="477">
        <f>industrie!J18</f>
        <v>0.37252362513396814</v>
      </c>
      <c r="K8" s="477">
        <f>industrie!K18</f>
        <v>0</v>
      </c>
      <c r="L8" s="477">
        <f>industrie!L18</f>
        <v>0</v>
      </c>
      <c r="M8" s="477">
        <f>industrie!M18</f>
        <v>0</v>
      </c>
      <c r="N8" s="477">
        <f>industrie!N18</f>
        <v>51.160087099698423</v>
      </c>
      <c r="O8" s="477">
        <f>industrie!O18</f>
        <v>0</v>
      </c>
      <c r="P8" s="478">
        <f>industrie!P18</f>
        <v>0</v>
      </c>
      <c r="Q8" s="476">
        <f t="shared" si="0"/>
        <v>486.54231040227302</v>
      </c>
    </row>
    <row r="9" spans="1:17" s="482" customFormat="1">
      <c r="A9" s="480" t="s">
        <v>561</v>
      </c>
      <c r="B9" s="481">
        <f>transport!B14</f>
        <v>2.5329669675159301</v>
      </c>
      <c r="C9" s="481">
        <f>transport!C14</f>
        <v>0</v>
      </c>
      <c r="D9" s="481">
        <f>transport!D14</f>
        <v>9.2466148400974841</v>
      </c>
      <c r="E9" s="481">
        <f>transport!E14</f>
        <v>12.251773795892486</v>
      </c>
      <c r="F9" s="481">
        <f>transport!F14</f>
        <v>0</v>
      </c>
      <c r="G9" s="481">
        <f>transport!G14</f>
        <v>5173.7455970607098</v>
      </c>
      <c r="H9" s="481">
        <f>transport!H14</f>
        <v>1040.2343600812285</v>
      </c>
      <c r="I9" s="481">
        <f>transport!I14</f>
        <v>0</v>
      </c>
      <c r="J9" s="481">
        <f>transport!J14</f>
        <v>0</v>
      </c>
      <c r="K9" s="481">
        <f>transport!K14</f>
        <v>0</v>
      </c>
      <c r="L9" s="481">
        <f>transport!L14</f>
        <v>0</v>
      </c>
      <c r="M9" s="481">
        <f>transport!M14</f>
        <v>332.966350163973</v>
      </c>
      <c r="N9" s="481">
        <f>transport!N14</f>
        <v>0</v>
      </c>
      <c r="O9" s="481">
        <f>transport!O14</f>
        <v>0</v>
      </c>
      <c r="P9" s="481">
        <f>transport!P14</f>
        <v>0</v>
      </c>
      <c r="Q9" s="480">
        <f>SUM(B9:P9)</f>
        <v>6570.9776629094176</v>
      </c>
    </row>
    <row r="10" spans="1:17">
      <c r="A10" s="476" t="s">
        <v>551</v>
      </c>
      <c r="B10" s="477">
        <f>transport!B54</f>
        <v>0</v>
      </c>
      <c r="C10" s="477">
        <f>transport!C54</f>
        <v>0</v>
      </c>
      <c r="D10" s="477">
        <f>transport!D54</f>
        <v>0</v>
      </c>
      <c r="E10" s="477">
        <f>transport!E54</f>
        <v>0</v>
      </c>
      <c r="F10" s="477">
        <f>transport!F54</f>
        <v>0</v>
      </c>
      <c r="G10" s="477">
        <f>transport!G54</f>
        <v>85.719581495096534</v>
      </c>
      <c r="H10" s="477">
        <f>transport!H54</f>
        <v>0</v>
      </c>
      <c r="I10" s="477">
        <f>transport!I54</f>
        <v>0</v>
      </c>
      <c r="J10" s="477">
        <f>transport!J54</f>
        <v>0</v>
      </c>
      <c r="K10" s="477">
        <f>transport!K54</f>
        <v>0</v>
      </c>
      <c r="L10" s="477">
        <f>transport!L54</f>
        <v>0</v>
      </c>
      <c r="M10" s="477">
        <f>transport!M54</f>
        <v>4.8684938132813205</v>
      </c>
      <c r="N10" s="477">
        <f>transport!N54</f>
        <v>0</v>
      </c>
      <c r="O10" s="477">
        <f>transport!O54</f>
        <v>0</v>
      </c>
      <c r="P10" s="478">
        <f>transport!P54</f>
        <v>0</v>
      </c>
      <c r="Q10" s="476">
        <f t="shared" si="0"/>
        <v>90.588075308377853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467.58317015051</v>
      </c>
      <c r="C14" s="484"/>
      <c r="D14" s="484">
        <f>'SEAP template'!E25</f>
        <v>38.847390782351404</v>
      </c>
      <c r="E14" s="484"/>
      <c r="F14" s="484"/>
      <c r="G14" s="484"/>
      <c r="H14" s="484"/>
      <c r="I14" s="484"/>
      <c r="J14" s="484"/>
      <c r="K14" s="484"/>
      <c r="L14" s="484"/>
      <c r="M14" s="484"/>
      <c r="N14" s="484"/>
      <c r="O14" s="484"/>
      <c r="P14" s="485"/>
      <c r="Q14" s="476">
        <f t="shared" si="0"/>
        <v>506.4305609328614</v>
      </c>
    </row>
    <row r="15" spans="1:17" s="486" customFormat="1">
      <c r="A15" s="1039" t="s">
        <v>555</v>
      </c>
      <c r="B15" s="987">
        <f ca="1">SUM(B4:B14)</f>
        <v>8662.0299111276472</v>
      </c>
      <c r="C15" s="987">
        <f t="shared" ref="C15:Q15" ca="1" si="1">SUM(C4:C14)</f>
        <v>0</v>
      </c>
      <c r="D15" s="987">
        <f t="shared" ca="1" si="1"/>
        <v>25539.358108058543</v>
      </c>
      <c r="E15" s="987">
        <f t="shared" si="1"/>
        <v>104.38294210858675</v>
      </c>
      <c r="F15" s="987">
        <f t="shared" ca="1" si="1"/>
        <v>4118.5262894144607</v>
      </c>
      <c r="G15" s="987">
        <f t="shared" si="1"/>
        <v>5259.4651785558062</v>
      </c>
      <c r="H15" s="987">
        <f t="shared" si="1"/>
        <v>1040.2343600812285</v>
      </c>
      <c r="I15" s="987">
        <f t="shared" si="1"/>
        <v>0</v>
      </c>
      <c r="J15" s="987">
        <f t="shared" si="1"/>
        <v>128.51276734878425</v>
      </c>
      <c r="K15" s="987">
        <f t="shared" si="1"/>
        <v>0</v>
      </c>
      <c r="L15" s="987">
        <f t="shared" ca="1" si="1"/>
        <v>0</v>
      </c>
      <c r="M15" s="987">
        <f t="shared" si="1"/>
        <v>337.83484397725431</v>
      </c>
      <c r="N15" s="987">
        <f t="shared" ca="1" si="1"/>
        <v>133.72109078160696</v>
      </c>
      <c r="O15" s="987">
        <f t="shared" si="1"/>
        <v>26.576666666666668</v>
      </c>
      <c r="P15" s="987">
        <f t="shared" si="1"/>
        <v>266.93333333333334</v>
      </c>
      <c r="Q15" s="987">
        <f t="shared" ca="1" si="1"/>
        <v>45617.575491453914</v>
      </c>
    </row>
    <row r="17" spans="1:17">
      <c r="A17" s="487" t="s">
        <v>556</v>
      </c>
      <c r="B17" s="786">
        <f ca="1">huishoudens!B10</f>
        <v>0.20131960643176194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958.51140858783629</v>
      </c>
      <c r="C22" s="477">
        <f t="shared" ref="C22:C32" ca="1" si="3">C4*$C$17</f>
        <v>0</v>
      </c>
      <c r="D22" s="477">
        <f t="shared" ref="D22:D32" si="4">D4*$D$17</f>
        <v>4905.3869781314224</v>
      </c>
      <c r="E22" s="477">
        <f t="shared" ref="E22:E32" si="5">E4*$E$17</f>
        <v>0</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5863.8983867192583</v>
      </c>
    </row>
    <row r="23" spans="1:17">
      <c r="A23" s="476" t="s">
        <v>156</v>
      </c>
      <c r="B23" s="477">
        <f t="shared" ca="1" si="2"/>
        <v>414.64208336196663</v>
      </c>
      <c r="C23" s="477">
        <f t="shared" ca="1" si="3"/>
        <v>0</v>
      </c>
      <c r="D23" s="477">
        <f t="shared" ca="1" si="4"/>
        <v>60.906317678817558</v>
      </c>
      <c r="E23" s="477">
        <f t="shared" si="5"/>
        <v>9.5258746740917815</v>
      </c>
      <c r="F23" s="477">
        <f t="shared" ca="1" si="6"/>
        <v>94.109122953570079</v>
      </c>
      <c r="G23" s="477">
        <f t="shared" si="7"/>
        <v>0</v>
      </c>
      <c r="H23" s="477">
        <f t="shared" si="8"/>
        <v>0</v>
      </c>
      <c r="I23" s="477">
        <f t="shared" si="9"/>
        <v>0</v>
      </c>
      <c r="J23" s="477">
        <f t="shared" si="10"/>
        <v>7.2026848878993901E-4</v>
      </c>
      <c r="K23" s="477">
        <f t="shared" si="11"/>
        <v>0</v>
      </c>
      <c r="L23" s="477">
        <f t="shared" ca="1" si="12"/>
        <v>0</v>
      </c>
      <c r="M23" s="477">
        <f t="shared" si="13"/>
        <v>0</v>
      </c>
      <c r="N23" s="477">
        <f t="shared" ca="1" si="14"/>
        <v>0</v>
      </c>
      <c r="O23" s="477">
        <f t="shared" si="15"/>
        <v>0</v>
      </c>
      <c r="P23" s="478">
        <f t="shared" si="16"/>
        <v>0</v>
      </c>
      <c r="Q23" s="476">
        <f t="shared" ref="Q23:Q32" ca="1" si="17">SUM(B23:P23)</f>
        <v>579.18411893693474</v>
      </c>
    </row>
    <row r="24" spans="1:17">
      <c r="A24" s="476" t="s">
        <v>194</v>
      </c>
      <c r="B24" s="477">
        <f t="shared" ca="1" si="2"/>
        <v>31.6742176387284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31.6742176387284</v>
      </c>
    </row>
    <row r="25" spans="1:17">
      <c r="A25" s="476" t="s">
        <v>112</v>
      </c>
      <c r="B25" s="477">
        <f t="shared" ca="1" si="2"/>
        <v>178.05767874838997</v>
      </c>
      <c r="C25" s="477">
        <f t="shared" ca="1" si="3"/>
        <v>0</v>
      </c>
      <c r="D25" s="477">
        <f t="shared" si="4"/>
        <v>182.94205288185148</v>
      </c>
      <c r="E25" s="477">
        <f t="shared" si="5"/>
        <v>5.9012662537786893</v>
      </c>
      <c r="F25" s="477">
        <f t="shared" si="6"/>
        <v>983.78348660973984</v>
      </c>
      <c r="G25" s="477">
        <f t="shared" si="7"/>
        <v>0</v>
      </c>
      <c r="H25" s="477">
        <f t="shared" si="8"/>
        <v>0</v>
      </c>
      <c r="I25" s="477">
        <f t="shared" si="9"/>
        <v>0</v>
      </c>
      <c r="J25" s="477">
        <f t="shared" si="10"/>
        <v>45.360926009683411</v>
      </c>
      <c r="K25" s="477">
        <f t="shared" si="11"/>
        <v>0</v>
      </c>
      <c r="L25" s="477">
        <f t="shared" si="12"/>
        <v>0</v>
      </c>
      <c r="M25" s="477">
        <f t="shared" si="13"/>
        <v>0</v>
      </c>
      <c r="N25" s="477">
        <f t="shared" si="14"/>
        <v>0</v>
      </c>
      <c r="O25" s="477">
        <f t="shared" si="15"/>
        <v>0</v>
      </c>
      <c r="P25" s="478">
        <f t="shared" si="16"/>
        <v>0</v>
      </c>
      <c r="Q25" s="476">
        <f t="shared" ca="1" si="17"/>
        <v>1396.0454105034435</v>
      </c>
    </row>
    <row r="26" spans="1:17">
      <c r="A26" s="476" t="s">
        <v>635</v>
      </c>
      <c r="B26" s="477">
        <f t="shared" ca="1" si="2"/>
        <v>66.307468569625485</v>
      </c>
      <c r="C26" s="477">
        <f t="shared" ca="1" si="3"/>
        <v>0</v>
      </c>
      <c r="D26" s="477">
        <f t="shared" si="4"/>
        <v>0</v>
      </c>
      <c r="E26" s="477">
        <f t="shared" si="5"/>
        <v>5.4866342791111267</v>
      </c>
      <c r="F26" s="477">
        <f t="shared" si="6"/>
        <v>21.75390971035101</v>
      </c>
      <c r="G26" s="477">
        <f t="shared" si="7"/>
        <v>0</v>
      </c>
      <c r="H26" s="477">
        <f t="shared" si="8"/>
        <v>0</v>
      </c>
      <c r="I26" s="477">
        <f t="shared" si="9"/>
        <v>0</v>
      </c>
      <c r="J26" s="477">
        <f t="shared" si="10"/>
        <v>0.13187336329742472</v>
      </c>
      <c r="K26" s="477">
        <f t="shared" si="11"/>
        <v>0</v>
      </c>
      <c r="L26" s="477">
        <f t="shared" si="12"/>
        <v>0</v>
      </c>
      <c r="M26" s="477">
        <f t="shared" si="13"/>
        <v>0</v>
      </c>
      <c r="N26" s="477">
        <f t="shared" si="14"/>
        <v>0</v>
      </c>
      <c r="O26" s="477">
        <f t="shared" si="15"/>
        <v>0</v>
      </c>
      <c r="P26" s="478">
        <f t="shared" si="16"/>
        <v>0</v>
      </c>
      <c r="Q26" s="476">
        <f t="shared" ca="1" si="17"/>
        <v>93.679885922385054</v>
      </c>
    </row>
    <row r="27" spans="1:17" s="482" customFormat="1">
      <c r="A27" s="480" t="s">
        <v>561</v>
      </c>
      <c r="B27" s="780">
        <f t="shared" ca="1" si="2"/>
        <v>0.50993591300496055</v>
      </c>
      <c r="C27" s="481">
        <f t="shared" ca="1" si="3"/>
        <v>0</v>
      </c>
      <c r="D27" s="481">
        <f t="shared" si="4"/>
        <v>1.8678161976996919</v>
      </c>
      <c r="E27" s="481">
        <f t="shared" si="5"/>
        <v>2.7811526516675946</v>
      </c>
      <c r="F27" s="481">
        <f t="shared" si="6"/>
        <v>0</v>
      </c>
      <c r="G27" s="481">
        <f t="shared" si="7"/>
        <v>1381.3900744152095</v>
      </c>
      <c r="H27" s="481">
        <f t="shared" si="8"/>
        <v>259.01835566022589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1645.5673348378077</v>
      </c>
    </row>
    <row r="28" spans="1:17">
      <c r="A28" s="476" t="s">
        <v>551</v>
      </c>
      <c r="B28" s="477">
        <f t="shared" ca="1" si="2"/>
        <v>0</v>
      </c>
      <c r="C28" s="477">
        <f t="shared" ca="1" si="3"/>
        <v>0</v>
      </c>
      <c r="D28" s="477">
        <f t="shared" si="4"/>
        <v>0</v>
      </c>
      <c r="E28" s="477">
        <f t="shared" si="5"/>
        <v>0</v>
      </c>
      <c r="F28" s="477">
        <f t="shared" si="6"/>
        <v>0</v>
      </c>
      <c r="G28" s="477">
        <f t="shared" si="7"/>
        <v>22.887128259190774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22.887128259190774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94.133659788816246</v>
      </c>
      <c r="C32" s="477">
        <f t="shared" ca="1" si="3"/>
        <v>0</v>
      </c>
      <c r="D32" s="477">
        <f t="shared" si="4"/>
        <v>7.8471729380349844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101.98083272685123</v>
      </c>
    </row>
    <row r="33" spans="1:17" s="486" customFormat="1">
      <c r="A33" s="1039" t="s">
        <v>555</v>
      </c>
      <c r="B33" s="987">
        <f ca="1">SUM(B22:B32)</f>
        <v>1743.8364526083678</v>
      </c>
      <c r="C33" s="987">
        <f t="shared" ref="C33:Q33" ca="1" si="18">SUM(C22:C32)</f>
        <v>0</v>
      </c>
      <c r="D33" s="987">
        <f t="shared" ca="1" si="18"/>
        <v>5158.9503378278268</v>
      </c>
      <c r="E33" s="987">
        <f t="shared" si="18"/>
        <v>23.694927858649191</v>
      </c>
      <c r="F33" s="987">
        <f t="shared" ca="1" si="18"/>
        <v>1099.6465192736609</v>
      </c>
      <c r="G33" s="987">
        <f t="shared" si="18"/>
        <v>1404.2772026744003</v>
      </c>
      <c r="H33" s="987">
        <f t="shared" si="18"/>
        <v>259.01835566022589</v>
      </c>
      <c r="I33" s="987">
        <f t="shared" si="18"/>
        <v>0</v>
      </c>
      <c r="J33" s="987">
        <f t="shared" si="18"/>
        <v>45.493519641469625</v>
      </c>
      <c r="K33" s="987">
        <f t="shared" si="18"/>
        <v>0</v>
      </c>
      <c r="L33" s="987">
        <f t="shared" ca="1" si="18"/>
        <v>0</v>
      </c>
      <c r="M33" s="987">
        <f t="shared" si="18"/>
        <v>0</v>
      </c>
      <c r="N33" s="987">
        <f t="shared" ca="1" si="18"/>
        <v>0</v>
      </c>
      <c r="O33" s="987">
        <f t="shared" si="18"/>
        <v>0</v>
      </c>
      <c r="P33" s="987">
        <f t="shared" si="18"/>
        <v>0</v>
      </c>
      <c r="Q33" s="987">
        <f t="shared" ca="1" si="18"/>
        <v>9734.9173155446006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771.36722964182013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771.36722964182013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0.20131960643176194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0.20131960643176194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2019-08-12T08:31:42Z</dcterms:modified>
</cp:coreProperties>
</file>