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D20" s="1"/>
  <c r="C19"/>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L10" s="1"/>
  <c r="K9"/>
  <c r="K10" s="1"/>
  <c r="I9"/>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Q14" i="48" l="1"/>
  <c r="L78" i="14"/>
  <c r="L8" i="61"/>
  <c r="L10" s="1"/>
  <c r="K78" i="14"/>
  <c r="K8" i="61"/>
  <c r="K10" s="1"/>
  <c r="L20" i="18"/>
  <c r="O77" i="14"/>
  <c r="O9" i="61" s="1"/>
  <c r="N20"/>
  <c r="N77" i="14"/>
  <c r="E89"/>
  <c r="E19" i="61" s="1"/>
  <c r="P27" i="48"/>
  <c r="B10" i="18"/>
  <c r="H9"/>
  <c r="O9" s="1"/>
  <c r="O31" i="48"/>
  <c r="P31"/>
  <c r="E18" i="61"/>
  <c r="E20" s="1"/>
  <c r="L90" i="14"/>
  <c r="L18" i="61"/>
  <c r="L20" s="1"/>
  <c r="O10"/>
  <c r="C98" i="18"/>
  <c r="K90" i="14"/>
  <c r="J22"/>
  <c r="P22"/>
  <c r="E10" i="61"/>
  <c r="B17" i="18"/>
  <c r="B20" s="1"/>
  <c r="F13" i="15"/>
  <c r="O22" i="14"/>
  <c r="G77"/>
  <c r="G9" i="61" s="1"/>
  <c r="G10" s="1"/>
  <c r="H20"/>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N78" i="14"/>
  <c r="N9" i="61"/>
  <c r="N10" s="1"/>
  <c r="B89" i="14"/>
  <c r="B19" i="61" s="1"/>
  <c r="E90" i="14"/>
  <c r="M77"/>
  <c r="M9" i="61" s="1"/>
  <c r="G78" i="14"/>
  <c r="B88"/>
  <c r="B18"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B77" i="14"/>
  <c r="B9" i="61" s="1"/>
  <c r="Q77" i="14"/>
  <c r="P9" i="61"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78" i="14" l="1"/>
  <c r="C8" i="61"/>
  <c r="C10" s="1"/>
  <c r="B78" i="14"/>
  <c r="B8" i="61"/>
  <c r="B10" s="1"/>
  <c r="B90" i="14"/>
  <c r="B17" i="61"/>
  <c r="B20" s="1"/>
  <c r="C90" i="14"/>
  <c r="C17" i="61"/>
  <c r="C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E11" i="14"/>
  <c r="D4" i="48"/>
  <c r="D22" s="1"/>
  <c r="C4"/>
  <c r="D11" i="14"/>
  <c r="B4" i="48"/>
  <c r="C11" i="14"/>
  <c r="N31" i="48"/>
  <c r="N30"/>
  <c r="N24"/>
  <c r="N32"/>
  <c r="N29"/>
  <c r="N27"/>
  <c r="N28"/>
  <c r="B10"/>
  <c r="C19" i="14"/>
  <c r="L10"/>
  <c r="L16" s="1"/>
  <c r="L27" s="1"/>
  <c r="K5" i="48"/>
  <c r="D30"/>
  <c r="D28"/>
  <c r="D24"/>
  <c r="D32"/>
  <c r="D29"/>
  <c r="D31"/>
  <c r="L29"/>
  <c r="L32"/>
  <c r="L27"/>
  <c r="L22"/>
  <c r="L31"/>
  <c r="L28"/>
  <c r="L24"/>
  <c r="L30"/>
  <c r="P5"/>
  <c r="P23" s="1"/>
  <c r="Q10" i="14"/>
  <c r="K32" i="48"/>
  <c r="K24"/>
  <c r="K27"/>
  <c r="K30"/>
  <c r="K26"/>
  <c r="K28"/>
  <c r="K22"/>
  <c r="K29"/>
  <c r="K25"/>
  <c r="K31"/>
  <c r="C24" i="14"/>
  <c r="C26" s="1"/>
  <c r="B7" i="48"/>
  <c r="J15" i="16"/>
  <c r="I31" i="48"/>
  <c r="I24"/>
  <c r="I28"/>
  <c r="I30"/>
  <c r="I22"/>
  <c r="I26"/>
  <c r="I27"/>
  <c r="I29"/>
  <c r="I25"/>
  <c r="I32"/>
  <c r="H29"/>
  <c r="H25"/>
  <c r="H32"/>
  <c r="H28"/>
  <c r="H24"/>
  <c r="H26"/>
  <c r="H22"/>
  <c r="H30"/>
  <c r="H23"/>
  <c r="G23"/>
  <c r="G30"/>
  <c r="G32"/>
  <c r="G29"/>
  <c r="G26"/>
  <c r="G25"/>
  <c r="G22"/>
  <c r="G24"/>
  <c r="F30"/>
  <c r="F31"/>
  <c r="F29"/>
  <c r="F32"/>
  <c r="F24"/>
  <c r="F27"/>
  <c r="F28"/>
  <c r="E31"/>
  <c r="E29"/>
  <c r="E30"/>
  <c r="E28"/>
  <c r="E32"/>
  <c r="E24"/>
  <c r="M29"/>
  <c r="M32"/>
  <c r="M22"/>
  <c r="M26"/>
  <c r="M25"/>
  <c r="M24"/>
  <c r="M30"/>
  <c r="M23"/>
  <c r="J31"/>
  <c r="J30"/>
  <c r="J32"/>
  <c r="J24"/>
  <c r="J29"/>
  <c r="J27"/>
  <c r="J28"/>
  <c r="P4"/>
  <c r="Q11" i="14"/>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15"/>
  <c r="E9"/>
  <c r="E27" s="1"/>
  <c r="F20" i="14"/>
  <c r="F22" s="1"/>
  <c r="Q13"/>
  <c r="P8" i="48"/>
  <c r="P26" s="1"/>
  <c r="D9"/>
  <c r="D27" s="1"/>
  <c r="E20" i="14"/>
  <c r="E22" s="1"/>
  <c r="P10"/>
  <c r="O5" i="48"/>
  <c r="O23" s="1"/>
  <c r="Q16" i="14"/>
  <c r="Q27" s="1"/>
  <c r="H18"/>
  <c r="G13" i="48"/>
  <c r="G31" s="1"/>
  <c r="O22"/>
  <c r="B9"/>
  <c r="C20" i="14"/>
  <c r="C22" s="1"/>
  <c r="J7" i="48"/>
  <c r="J25" s="1"/>
  <c r="K24" i="14"/>
  <c r="K26" s="1"/>
  <c r="G11"/>
  <c r="F4" i="48"/>
  <c r="F22" s="1"/>
  <c r="I5"/>
  <c r="J10" i="14"/>
  <c r="J16" s="1"/>
  <c r="J27" s="1"/>
  <c r="J63" s="1"/>
  <c r="P15" i="48"/>
  <c r="P22"/>
  <c r="K33"/>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F11" l="1"/>
  <c r="R11" s="1"/>
  <c r="E4" i="48"/>
  <c r="P13" i="14"/>
  <c r="P16" s="1"/>
  <c r="P27" s="1"/>
  <c r="O8" i="48"/>
  <c r="O26" s="1"/>
  <c r="J4"/>
  <c r="K11" i="14"/>
  <c r="O11"/>
  <c r="N4" i="48"/>
  <c r="N22" s="1"/>
  <c r="I15"/>
  <c r="I23"/>
  <c r="I33" s="1"/>
  <c r="P46" i="14"/>
  <c r="P61" s="1"/>
  <c r="M14" i="22"/>
  <c r="H14"/>
  <c r="O33" i="48"/>
  <c r="M10"/>
  <c r="M28" s="1"/>
  <c r="N19" i="14"/>
  <c r="N22" s="1"/>
  <c r="N27" s="1"/>
  <c r="H19"/>
  <c r="G10" i="48"/>
  <c r="E7"/>
  <c r="E25" s="1"/>
  <c r="F24" i="14"/>
  <c r="F26" s="1"/>
  <c r="P33" i="48"/>
  <c r="I20" i="14"/>
  <c r="I22" s="1"/>
  <c r="I27"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F10" i="14"/>
  <c r="E5" i="48"/>
  <c r="E23" s="1"/>
  <c r="R19" i="14"/>
  <c r="G28" i="48"/>
  <c r="Q10"/>
  <c r="J5"/>
  <c r="J23" s="1"/>
  <c r="K10" i="14"/>
  <c r="J22" i="48"/>
  <c r="P63" i="14"/>
  <c r="O15" i="48"/>
  <c r="Q7"/>
  <c r="M15"/>
  <c r="M27"/>
  <c r="M33" s="1"/>
  <c r="H15"/>
  <c r="H27"/>
  <c r="H33" s="1"/>
  <c r="N63" i="14"/>
  <c r="R24"/>
  <c r="R26" s="1"/>
  <c r="N18" i="16"/>
  <c r="E20" i="15"/>
  <c r="F40" i="14" s="1"/>
  <c r="F18" i="16"/>
  <c r="J18"/>
  <c r="E18"/>
  <c r="G18" i="22"/>
  <c r="H50" i="14" s="1"/>
  <c r="H52" s="1"/>
  <c r="H61" s="1"/>
  <c r="H18" i="22"/>
  <c r="I50" i="14" s="1"/>
  <c r="I52" s="1"/>
  <c r="I61" s="1"/>
  <c r="I63" s="1"/>
  <c r="R22" l="1"/>
  <c r="R20"/>
  <c r="F13"/>
  <c r="F16" s="1"/>
  <c r="F27" s="1"/>
  <c r="F63" s="1"/>
  <c r="E8" i="48"/>
  <c r="G27"/>
  <c r="G33" s="1"/>
  <c r="G15"/>
  <c r="J8"/>
  <c r="J26" s="1"/>
  <c r="K13" i="14"/>
  <c r="K16" s="1"/>
  <c r="K27" s="1"/>
  <c r="K63" s="1"/>
  <c r="H63"/>
  <c r="F46"/>
  <c r="F61" s="1"/>
  <c r="J33" i="48"/>
  <c r="Q9"/>
  <c r="J15"/>
  <c r="N8"/>
  <c r="N26" s="1"/>
  <c r="O13" i="14"/>
  <c r="F8" i="48"/>
  <c r="G13" i="14"/>
  <c r="E22" i="16"/>
  <c r="F43" i="14" s="1"/>
  <c r="F22" i="16"/>
  <c r="G43" i="14" s="1"/>
  <c r="N22" i="16"/>
  <c r="O43" i="14" s="1"/>
  <c r="J22" i="16"/>
  <c r="K43" i="14" s="1"/>
  <c r="K46" s="1"/>
  <c r="K61" s="1"/>
  <c r="E26" i="48" l="1"/>
  <c r="E33" s="1"/>
  <c r="E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<sst xmlns="http://schemas.openxmlformats.org/spreadsheetml/2006/main" count="2401" uniqueCount="890">
  <si>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</si>
  <si>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</si>
  <si>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</si>
  <si>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</si>
  <si>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</si>
  <si>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</si>
  <si>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</si>
  <si>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</si>
  <si>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</si>
  <si>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</si>
  <si>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</si>
  <si>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</si>
  <si>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</si>
  <si>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</si>
  <si>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</si>
  <si>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</si>
  <si>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</si>
  <si>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</si>
  <si>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</si>
  <si>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</si>
  <si>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</si>
  <si>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</si>
  <si>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</si>
  <si>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</si>
  <si>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</si>
  <si>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</si>
  <si>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</si>
  <si>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</si>
  <si>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</si>
  <si>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</si>
  <si>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</si>
  <si>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</si>
  <si>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</si>
  <si>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</si>
  <si>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</si>
  <si>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</si>
  <si>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</si>
  <si>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</si>
  <si>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</si>
  <si>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</si>
  <si>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</si>
  <si>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</si>
  <si>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</si>
  <si>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</si>
  <si>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</si>
  <si>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</si>
  <si>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</si>
  <si>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</si>
  <si>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</si>
  <si>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</si>
  <si>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</si>
  <si>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</si>
  <si>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</si>
  <si>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</si>
  <si>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</si>
  <si>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</si>
  <si>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</si>
  <si>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</si>
  <si>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</si>
  <si>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</si>
  <si>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</si>
  <si>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</si>
  <si>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</si>
  <si>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</si>
  <si>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</si>
  <si>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</si>
  <si>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</si>
  <si>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</si>
  <si>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</si>
  <si>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</si>
  <si>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</si>
  <si>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</si>
  <si>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</si>
  <si>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</si>
  <si>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</si>
  <si>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</si>
  <si>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</si>
  <si>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</si>
  <si>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</si>
  <si>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</si>
  <si>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</si>
  <si>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</si>
  <si>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</si>
  <si>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</si>
  <si>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</si>
  <si>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</si>
  <si>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</si>
  <si>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</si>
  <si>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</si>
  <si>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</si>
  <si>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</si>
  <si>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</si>
  <si>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</si>
  <si>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</si>
  <si>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</si>
  <si>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</si>
  <si>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</si>
  <si>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</si>
  <si>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</si>
  <si>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</si>
  <si>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</si>
  <si>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</si>
  <si>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</si>
  <si>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</si>
  <si>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</si>
  <si>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</si>
  <si>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</si>
  <si>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</si>
  <si>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</si>
  <si>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</si>
  <si>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</si>
  <si>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</si>
  <si>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</si>
  <si>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</si>
  <si>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</si>
  <si>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</si>
  <si>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</si>
  <si>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</si>
  <si>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</si>
  <si>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</si>
  <si>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</si>
  <si>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</si>
  <si>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</si>
  <si>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</si>
  <si>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</si>
  <si>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</si>
  <si>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</si>
  <si>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</si>
  <si>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</si>
  <si>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</si>
  <si>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</si>
  <si>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</si>
  <si>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</si>
  <si>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</si>
  <si>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</si>
  <si>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</si>
  <si>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</si>
  <si>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</si>
  <si>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</si>
  <si>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</si>
  <si>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</si>
  <si>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</si>
  <si>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</si>
  <si>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</si>
  <si>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</si>
  <si>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</si>
  <si>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</si>
  <si>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</si>
  <si>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</si>
  <si>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</si>
  <si>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</si>
  <si>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</si>
  <si>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</si>
  <si>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</si>
  <si>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</si>
  <si>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</si>
  <si>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</si>
  <si>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</si>
  <si>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</si>
  <si>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</si>
  <si>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</si>
  <si>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</si>
  <si>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</si>
  <si>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</si>
  <si>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</si>
  <si>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</si>
  <si>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</si>
  <si>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</si>
  <si>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</si>
  <si>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</si>
  <si>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</si>
  <si>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</si>
  <si>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</si>
  <si>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</si>
  <si>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</si>
  <si>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</si>
  <si>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</si>
  <si>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</si>
  <si>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</si>
  <si>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</si>
  <si>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</si>
  <si>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</si>
  <si>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</si>
  <si>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</si>
  <si>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</si>
  <si>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</si>
  <si>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</si>
  <si>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</si>
  <si>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</si>
  <si>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</si>
  <si>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</si>
  <si>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</si>
  <si>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</si>
  <si>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</si>
  <si>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</si>
  <si>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</si>
  <si>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</si>
  <si>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</si>
  <si>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</si>
  <si>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</si>
  <si>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</si>
  <si>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</si>
  <si>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</si>
  <si>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</si>
  <si>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</si>
  <si>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</si>
  <si>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</si>
  <si>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</si>
  <si>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</si>
  <si>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</si>
  <si>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</si>
  <si>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</si>
  <si>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</si>
  <si>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</si>
  <si>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</si>
  <si>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</si>
  <si>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</si>
  <si>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</si>
  <si>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</si>
  <si>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</si>
  <si>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</si>
  <si>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</si>
  <si>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</si>
  <si>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</si>
  <si>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</si>
  <si>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</si>
  <si>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</si>
  <si>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</si>
  <si>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</si>
  <si>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</si>
  <si>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</si>
  <si>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</si>
  <si>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</si>
  <si>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</si>
  <si>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</si>
  <si>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</si>
  <si>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</si>
  <si>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</si>
  <si>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</si>
  <si>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</si>
  <si>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</si>
  <si>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</si>
  <si>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</si>
  <si>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</si>
  <si>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</si>
  <si>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</si>
  <si>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</si>
  <si>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</si>
  <si>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</si>
  <si>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</si>
  <si>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</si>
  <si>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</si>
  <si>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</si>
  <si>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</si>
  <si>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</si>
  <si>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</si>
  <si>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</si>
  <si>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</si>
  <si>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</si>
  <si>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</si>
  <si>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</si>
  <si>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</si>
  <si>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</si>
  <si>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</si>
  <si>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</si>
  <si>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</si>
  <si>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</si>
  <si>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</si>
  <si>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</si>
  <si>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</si>
  <si>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</si>
  <si>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</si>
  <si>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</si>
  <si>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</si>
  <si>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</si>
  <si>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</si>
  <si>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</si>
  <si>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</si>
  <si>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</si>
  <si>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</si>
  <si>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</si>
  <si>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</si>
  <si>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</si>
  <si>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</si>
  <si>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</si>
  <si>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</si>
  <si>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</si>
  <si>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</si>
  <si>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</si>
  <si>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</si>
  <si>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</si>
  <si>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</si>
  <si>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</si>
  <si>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</si>
  <si>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</si>
  <si>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</si>
  <si>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</si>
  <si>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</si>
  <si>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</si>
  <si>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</si>
  <si>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</si>
  <si>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</si>
  <si>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</si>
  <si>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</si>
  <si>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</si>
  <si>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</si>
  <si>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</si>
  <si>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</si>
  <si>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</si>
  <si>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</si>
  <si>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</si>
  <si>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</si>
  <si>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</si>
  <si>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</si>
  <si>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</si>
  <si>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</si>
  <si>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</si>
  <si>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</si>
  <si>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</si>
  <si>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</si>
  <si>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</si>
  <si>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</si>
  <si>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</si>
  <si>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</si>
  <si>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</si>
  <si>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</si>
  <si>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</si>
  <si>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</si>
  <si>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</si>
  <si>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</si>
  <si>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</si>
  <si>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</si>
  <si>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</si>
  <si>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</si>
  <si>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</si>
  <si>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</si>
  <si>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</si>
  <si>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</si>
  <si>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</si>
  <si>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</si>
  <si>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</si>
  <si>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</si>
  <si>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</si>
  <si>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</si>
  <si>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</si>
  <si>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</si>
  <si>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</si>
  <si>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</si>
  <si>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</si>
  <si>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</si>
  <si>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</si>
  <si>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</si>
  <si>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</si>
  <si>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</si>
  <si>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</si>
  <si>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</si>
  <si>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</si>
  <si>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</si>
  <si>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</si>
  <si>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</si>
  <si>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</si>
  <si>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</si>
  <si>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</si>
  <si>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</si>
  <si>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</si>
  <si>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</si>
  <si>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</si>
  <si>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</si>
  <si>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</si>
  <si>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</si>
  <si>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</si>
  <si>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</si>
  <si>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</si>
  <si>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</si>
  <si>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</si>
  <si>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</si>
  <si>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</si>
  <si>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</si>
  <si>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</si>
  <si>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</si>
  <si>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</si>
  <si>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</si>
  <si>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</si>
  <si>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</si>
  <si>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</si>
  <si>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</si>
  <si>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</si>
  <si>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</si>
  <si>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</si>
  <si>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</si>
  <si>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</si>
  <si>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</si>
  <si>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</si>
  <si>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</si>
  <si>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</si>
  <si>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</si>
  <si>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</si>
  <si>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</si>
  <si>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</si>
  <si>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</si>
  <si>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</si>
  <si>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</si>
  <si>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</si>
  <si>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</si>
  <si>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</si>
  <si>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</si>
  <si>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</si>
  <si>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</si>
  <si>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</si>
  <si>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</si>
  <si>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</si>
  <si>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</si>
  <si>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</si>
  <si>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</si>
  <si>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</si>
  <si>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</si>
  <si>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</si>
  <si>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</si>
  <si>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</si>
  <si>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</si>
  <si>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</si>
  <si>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</si>
  <si>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</si>
  <si>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</si>
  <si>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</si>
  <si>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</si>
  <si>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</si>
  <si>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</si>
  <si>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</si>
  <si>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</si>
  <si>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</si>
  <si>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</si>
  <si>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</si>
  <si>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</si>
  <si>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</si>
  <si>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</si>
  <si>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</si>
  <si>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</si>
  <si>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</si>
  <si>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</si>
  <si>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</si>
  <si>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</si>
  <si>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</si>
  <si>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</si>
  <si>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</si>
  <si>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</si>
  <si>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</si>
  <si>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</si>
  <si>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</si>
  <si>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</si>
  <si>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</si>
  <si>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</si>
  <si>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</si>
  <si>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</si>
  <si>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</si>
  <si>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</si>
  <si>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</si>
  <si>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</si>
  <si>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</si>
  <si>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</si>
  <si>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</si>
  <si>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</si>
  <si>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</si>
  <si>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</si>
  <si>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</si>
  <si>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</si>
  <si>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</si>
  <si>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</si>
  <si>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</si>
  <si>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</si>
  <si>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</si>
  <si>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</si>
  <si>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</si>
  <si>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</si>
  <si>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</si>
  <si>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</si>
  <si>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</si>
  <si>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</si>
  <si>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</si>
  <si>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</si>
  <si>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</si>
  <si>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</si>
  <si>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</si>
  <si>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</si>
  <si>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</si>
  <si>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</si>
  <si>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</si>
  <si>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</si>
  <si>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</si>
  <si>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</si>
  <si>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</si>
  <si>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</si>
  <si>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</si>
  <si>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</si>
  <si>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</si>
  <si>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</si>
  <si>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</si>
  <si>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</si>
  <si>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</si>
  <si>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</si>
  <si>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</si>
  <si>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</si>
  <si>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</si>
  <si>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</si>
  <si>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</si>
  <si>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</si>
  <si>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</si>
  <si>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</si>
  <si>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</si>
  <si>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</si>
  <si>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</si>
  <si>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</si>
  <si>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</si>
  <si>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</si>
  <si>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</si>
  <si>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</si>
  <si>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</si>
  <si>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</si>
  <si>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</si>
  <si>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</si>
  <si>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</si>
  <si>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</si>
  <si>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</si>
  <si>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</si>
  <si>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</si>
  <si>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</si>
  <si>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</si>
  <si>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</si>
  <si>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</si>
  <si>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</si>
  <si>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</si>
  <si>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</si>
  <si>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</si>
  <si>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</si>
  <si>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</si>
  <si>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</si>
  <si>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</si>
  <si>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</si>
  <si>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</si>
  <si>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</si>
  <si>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</si>
  <si>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</si>
  <si>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</si>
  <si>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</si>
  <si>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</si>
  <si>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</si>
  <si>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</si>
  <si>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</si>
  <si>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</si>
  <si>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</si>
  <si>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</si>
  <si>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</si>
  <si>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</si>
  <si>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</si>
  <si>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</si>
  <si>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</si>
  <si>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</si>
  <si>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</si>
  <si>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</si>
  <si>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</si>
  <si>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</si>
  <si>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</si>
  <si>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</si>
  <si>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</si>
  <si>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</si>
  <si>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</si>
  <si>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</si>
  <si>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</si>
  <si>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</si>
  <si>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</si>
  <si>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</si>
  <si>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</si>
  <si>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</si>
  <si>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</si>
  <si>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</si>
  <si>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</si>
  <si>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</si>
  <si>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</si>
  <si>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</si>
  <si>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</si>
  <si>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</si>
  <si>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</si>
  <si>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</si>
  <si>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</si>
  <si>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</si>
  <si>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</si>
  <si>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</si>
  <si>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</si>
  <si>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</si>
  <si>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</si>
  <si>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</si>
  <si>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</si>
  <si>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</si>
  <si>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</si>
  <si>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</si>
  <si>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</si>
  <si>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</si>
  <si>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</si>
  <si>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</si>
  <si>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</si>
  <si>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</si>
  <si>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</si>
  <si>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</si>
  <si>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</si>
  <si>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</si>
  <si>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</si>
  <si>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</si>
  <si>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</si>
  <si>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</si>
  <si>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</si>
  <si>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</si>
  <si>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</si>
  <si>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</si>
  <si>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</si>
  <si>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</si>
  <si>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</si>
  <si>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</si>
  <si>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</si>
  <si>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</si>
  <si>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</si>
  <si>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</si>
  <si>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</si>
  <si>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</si>
  <si>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</si>
  <si>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</si>
  <si>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</si>
  <si>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</si>
  <si>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</si>
  <si>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</si>
  <si>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</si>
  <si>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</si>
  <si>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</si>
  <si>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</si>
  <si>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</si>
  <si>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</si>
  <si>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</si>
  <si>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</si>
  <si>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</si>
  <si>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</si>
  <si>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</si>
  <si>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</si>
  <si>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</si>
  <si>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</si>
  <si>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</si>
  <si>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</si>
  <si>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</si>
  <si>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</si>
  <si>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</si>
  <si>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</si>
  <si>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</si>
  <si>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</si>
  <si>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</si>
  <si>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</si>
  <si>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</si>
  <si>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</si>
  <si>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</si>
  <si>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</si>
  <si>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</si>
  <si>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</si>
  <si>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</si>
  <si>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</si>
  <si>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</si>
  <si>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</si>
  <si>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</si>
  <si>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</si>
  <si>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</si>
  <si>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</si>
  <si>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</si>
  <si>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</si>
  <si>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</si>
  <si>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</si>
  <si>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</si>
  <si>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</si>
  <si>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</si>
  <si>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</si>
  <si>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</si>
  <si>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</si>
  <si>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</si>
  <si>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</si>
  <si>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</si>
  <si>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</si>
  <si>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</si>
  <si>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</si>
  <si>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</si>
  <si>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</si>
  <si>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</si>
  <si>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</si>
  <si>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</si>
  <si>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</si>
  <si>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</si>
  <si>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</si>
  <si>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</si>
  <si>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</si>
  <si>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</si>
  <si>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</si>
  <si>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</si>
  <si>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</si>
  <si>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</si>
  <si>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</si>
  <si>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</si>
  <si>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</si>
  <si>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</si>
  <si>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</si>
  <si>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</si>
  <si>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</si>
  <si>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</si>
  <si>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</si>
  <si>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</si>
  <si>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</si>
  <si>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</si>
  <si>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</si>
  <si>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</si>
  <si>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</si>
  <si>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</si>
  <si>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</si>
  <si>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</si>
  <si>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</si>
  <si>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</si>
  <si>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</si>
  <si>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</si>
  <si>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</si>
  <si>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</si>
  <si>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</si>
  <si>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</si>
  <si>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</si>
  <si>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</si>
  <si>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</si>
  <si>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</si>
  <si>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</si>
  <si>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</si>
  <si>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</si>
  <si>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</si>
  <si>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</si>
  <si>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</si>
  <si>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</si>
  <si>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</si>
  <si>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</si>
  <si>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</si>
  <si>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</si>
  <si>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</si>
  <si>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</si>
  <si>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</si>
  <si>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</si>
  <si>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</si>
  <si>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</si>
  <si>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</si>
  <si>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</si>
  <si>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</si>
  <si>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</si>
  <si>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</si>
  <si>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</si>
  <si>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</si>
  <si>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</si>
  <si>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</si>
  <si>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</si>
  <si>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</si>
  <si>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</si>
  <si>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</si>
  <si>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</si>
  <si>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</si>
  <si>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</si>
  <si>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</si>
  <si>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</si>
  <si>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</si>
  <si>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</si>
  <si>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</si>
  <si>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</si>
  <si>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</si>
  <si>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</si>
  <si>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</si>
  <si>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</si>
  <si>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</si>
  <si>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</si>
  <si>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</si>
  <si>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</si>
  <si>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</si>
  <si>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</si>
  <si>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</si>
  <si>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</si>
  <si>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</si>
  <si>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</si>
  <si>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</si>
  <si>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</si>
  <si>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</si>
  <si>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</si>
  <si>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</si>
  <si>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</si>
  <si>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</si>
  <si>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</si>
  <si>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</si>
  <si>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</si>
  <si>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</si>
  <si>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</si>
  <si>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</si>
  <si>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</si>
  <si>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</si>
  <si>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</si>
  <si>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</si>
  <si>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</si>
  <si>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</si>
  <si>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</si>
  <si>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</si>
  <si>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</si>
  <si>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</si>
  <si>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</si>
  <si>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</si>
  <si>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</si>
  <si>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</si>
  <si>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</si>
  <si>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</si>
  <si>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</si>
  <si>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</si>
  <si>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</si>
  <si>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</si>
  <si>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</si>
  <si>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</si>
  <si>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</si>
  <si>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</si>
  <si>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</si>
  <si>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</si>
  <si>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</si>
  <si>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</si>
  <si>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</si>
  <si>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</si>
  <si>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</si>
  <si>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</si>
  <si>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</si>
  <si>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</si>
  <si>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</si>
  <si>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</si>
  <si>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</si>
  <si>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</si>
  <si>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</si>
  <si>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</si>
  <si>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</si>
  <si>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</si>
  <si>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</si>
  <si>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</si>
  <si>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</si>
  <si>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</si>
  <si>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</si>
  <si>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</si>
  <si>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</si>
  <si>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</si>
  <si>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</si>
  <si>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</si>
  <si>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</si>
  <si>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</si>
  <si>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</si>
  <si>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</si>
  <si>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</si>
  <si>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</si>
  <si>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</si>
  <si>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</si>
  <si>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</si>
  <si>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</si>
  <si>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</si>
  <si>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</si>
  <si>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</si>
  <si>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</si>
  <si>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</si>
  <si>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</si>
  <si>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</si>
  <si>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</si>
  <si>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</si>
  <si>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</si>
  <si>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</si>
  <si>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</si>
  <si>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</si>
  <si>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</si>
  <si>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</si>
  <si>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</si>
  <si>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</si>
  <si>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13001</t>
  </si>
  <si>
    <t>ARENDONK</t>
  </si>
  <si>
    <t>Eandis (januari 2018); Infrax (juni 2018)</t>
  </si>
  <si>
    <t>MOW (september 2017)</t>
  </si>
  <si>
    <t>referentietaak LNE (2017); Jaarverslag De Lijn (2016)</t>
  </si>
  <si>
    <t>VEA (april 2018)</t>
  </si>
  <si>
    <t>VEA (januari 2017)</t>
  </si>
  <si>
    <t>VEA (juni 2018)</t>
  </si>
  <si>
    <t>Biogas De Biezen</t>
  </si>
  <si>
    <t>De Biezen 6 , 2370 Arendonk</t>
  </si>
  <si>
    <t>WKK-0237 Biogas De Biezen</t>
  </si>
  <si>
    <t>interne verbrandingsmotor</t>
  </si>
  <si>
    <t>WKK interne verbrandinsgmotor (gas)</t>
  </si>
  <si>
    <t>IVEKA</t>
  </si>
  <si>
    <t>Arbio bvba</t>
  </si>
  <si>
    <t>Watering 20 A, 2370 Arendonk</t>
  </si>
  <si>
    <t>WKK-0531 Arbio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</si>
</sst>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125363.61340690321</c:v>
                </c:pt>
                <c:pt idx="1">
                  <c:v>97596.968606697337</c:v>
                </c:pt>
                <c:pt idx="2">
                  <c:v>848.80499999999995</c:v>
                </c:pt>
                <c:pt idx="3">
                  <c:v>72798.090551826594</c:v>
                </c:pt>
                <c:pt idx="4">
                  <c:v>46583.624723410387</c:v>
                </c:pt>
                <c:pt idx="5">
                  <c:v>97284.381880589877</c:v>
                </c:pt>
                <c:pt idx="6">
                  <c:v>759.87205178491581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93632"/>
        <c:axId val="176695168"/>
      </c:barChart>
      <c:catAx>
        <c:axId val="176693632"/>
        <c:scaling>
          <c:orientation val="minMax"/>
        </c:scaling>
        <c:axPos val="b"/>
        <c:numFmt formatCode="General" sourceLinked="0"/>
        <c:tickLblPos val="nextTo"/>
        <c:crossAx val="176695168"/>
        <c:crosses val="autoZero"/>
        <c:auto val="1"/>
        <c:lblAlgn val="ctr"/>
        <c:lblOffset val="100"/>
      </c:catAx>
      <c:valAx>
        <c:axId val="176695168"/>
        <c:scaling>
          <c:orientation val="minMax"/>
        </c:scaling>
        <c:axPos val="l"/>
        <c:majorGridlines>
          <c:spPr>
            <a:ln>
              <a:noFill/>
            </a:ln>
          </c:spPr>
        </c:majorGridlines>
        <c:numFmt formatCode="#,##0" sourceLinked="1"/>
        <c:tickLblPos val="nextTo"/>
        <c:crossAx val="1766936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125363.61340690321</c:v>
                </c:pt>
                <c:pt idx="1">
                  <c:v>97596.968606697337</c:v>
                </c:pt>
                <c:pt idx="2">
                  <c:v>848.80499999999995</c:v>
                </c:pt>
                <c:pt idx="3">
                  <c:v>72798.090551826594</c:v>
                </c:pt>
                <c:pt idx="4">
                  <c:v>46583.624723410387</c:v>
                </c:pt>
                <c:pt idx="5">
                  <c:v>97284.381880589877</c:v>
                </c:pt>
                <c:pt idx="6">
                  <c:v>759.87205178491581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16678.057062206059</c:v>
                </c:pt>
                <c:pt idx="2">
                  <c:v>8273.0553595325273</c:v>
                </c:pt>
                <c:pt idx="3">
                  <c:v>52.00579403055599</c:v>
                </c:pt>
                <c:pt idx="4">
                  <c:v>6610.7729949046443</c:v>
                </c:pt>
                <c:pt idx="5">
                  <c:v>5628.6642369808069</c:v>
                </c:pt>
                <c:pt idx="6">
                  <c:v>24392.676452502765</c:v>
                </c:pt>
                <c:pt idx="7">
                  <c:v>191.98210195517228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96992"/>
        <c:axId val="183419264"/>
      </c:barChart>
      <c:catAx>
        <c:axId val="183396992"/>
        <c:scaling>
          <c:orientation val="minMax"/>
        </c:scaling>
        <c:axPos val="b"/>
        <c:numFmt formatCode="General" sourceLinked="0"/>
        <c:tickLblPos val="nextTo"/>
        <c:crossAx val="183419264"/>
        <c:crosses val="autoZero"/>
        <c:auto val="1"/>
        <c:lblAlgn val="ctr"/>
        <c:lblOffset val="100"/>
      </c:catAx>
      <c:valAx>
        <c:axId val="183419264"/>
        <c:scaling>
          <c:orientation val="minMax"/>
        </c:scaling>
        <c:axPos val="l"/>
        <c:majorGridlines>
          <c:spPr>
            <a:ln>
              <a:noFill/>
            </a:ln>
          </c:spPr>
        </c:majorGridlines>
        <c:numFmt formatCode="#,##0" sourceLinked="1"/>
        <c:tickLblPos val="nextTo"/>
        <c:crossAx val="1833969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16678.057062206059</c:v>
                </c:pt>
                <c:pt idx="2">
                  <c:v>8273.0553595325273</c:v>
                </c:pt>
                <c:pt idx="3">
                  <c:v>52.00579403055599</c:v>
                </c:pt>
                <c:pt idx="4">
                  <c:v>6610.7729949046443</c:v>
                </c:pt>
                <c:pt idx="5">
                  <c:v>5628.6642369808069</c:v>
                </c:pt>
                <c:pt idx="6">
                  <c:v>24392.676452502765</c:v>
                </c:pt>
                <c:pt idx="7">
                  <c:v>191.98210195517228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13001</v>
      </c>
      <c r="B6" s="415"/>
      <c r="C6" s="416"/>
    </row>
    <row r="7" spans="1:7" s="413" customFormat="1" ht="15.75" customHeight="1">
      <c r="A7" s="417" t="str">
        <f>txtMunicipality</f>
        <v>ARENDONK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6.1269424697729155E-2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6.1269424697729155E-2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5283</v>
      </c>
      <c r="C9" s="342">
        <v>5383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2462.5300000000002</v>
      </c>
    </row>
    <row r="15" spans="1:6">
      <c r="A15" s="348" t="s">
        <v>184</v>
      </c>
      <c r="B15" s="334">
        <v>4460</v>
      </c>
    </row>
    <row r="16" spans="1:6">
      <c r="A16" s="348" t="s">
        <v>6</v>
      </c>
      <c r="B16" s="334">
        <v>1588</v>
      </c>
    </row>
    <row r="17" spans="1:6">
      <c r="A17" s="348" t="s">
        <v>7</v>
      </c>
      <c r="B17" s="334">
        <v>151</v>
      </c>
    </row>
    <row r="18" spans="1:6">
      <c r="A18" s="348" t="s">
        <v>8</v>
      </c>
      <c r="B18" s="334">
        <v>805</v>
      </c>
    </row>
    <row r="19" spans="1:6">
      <c r="A19" s="348" t="s">
        <v>9</v>
      </c>
      <c r="B19" s="334">
        <v>719</v>
      </c>
    </row>
    <row r="20" spans="1:6">
      <c r="A20" s="348" t="s">
        <v>10</v>
      </c>
      <c r="B20" s="334">
        <v>413</v>
      </c>
    </row>
    <row r="21" spans="1:6">
      <c r="A21" s="348" t="s">
        <v>11</v>
      </c>
      <c r="B21" s="334">
        <v>19461</v>
      </c>
    </row>
    <row r="22" spans="1:6">
      <c r="A22" s="348" t="s">
        <v>12</v>
      </c>
      <c r="B22" s="334">
        <v>14688</v>
      </c>
    </row>
    <row r="23" spans="1:6">
      <c r="A23" s="348" t="s">
        <v>13</v>
      </c>
      <c r="B23" s="334">
        <v>1342</v>
      </c>
    </row>
    <row r="24" spans="1:6">
      <c r="A24" s="348" t="s">
        <v>14</v>
      </c>
      <c r="B24" s="334">
        <v>12</v>
      </c>
    </row>
    <row r="25" spans="1:6">
      <c r="A25" s="348" t="s">
        <v>15</v>
      </c>
      <c r="B25" s="334">
        <v>4784</v>
      </c>
    </row>
    <row r="26" spans="1:6">
      <c r="A26" s="348" t="s">
        <v>16</v>
      </c>
      <c r="B26" s="334">
        <v>5</v>
      </c>
    </row>
    <row r="27" spans="1:6">
      <c r="A27" s="348" t="s">
        <v>17</v>
      </c>
      <c r="B27" s="334">
        <v>1</v>
      </c>
    </row>
    <row r="28" spans="1:6" s="356" customFormat="1">
      <c r="A28" s="355" t="s">
        <v>18</v>
      </c>
      <c r="B28" s="355">
        <v>412108</v>
      </c>
    </row>
    <row r="29" spans="1:6">
      <c r="A29" s="355" t="s">
        <v>744</v>
      </c>
      <c r="B29" s="355">
        <v>73</v>
      </c>
      <c r="C29" s="356"/>
      <c r="D29" s="356"/>
      <c r="E29" s="356"/>
      <c r="F29" s="356"/>
    </row>
    <row r="30" spans="1:6">
      <c r="A30" s="341" t="s">
        <v>745</v>
      </c>
      <c r="B30" s="341">
        <v>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172975.50338274299</v>
      </c>
      <c r="E38" s="334">
        <v>1</v>
      </c>
      <c r="F38" s="334">
        <v>5687.5002489400003</v>
      </c>
    </row>
    <row r="39" spans="1:6">
      <c r="A39" s="348" t="s">
        <v>30</v>
      </c>
      <c r="B39" s="348" t="s">
        <v>31</v>
      </c>
      <c r="C39" s="334">
        <v>3800</v>
      </c>
      <c r="D39" s="334">
        <v>67850735.931860104</v>
      </c>
      <c r="E39" s="334">
        <v>5125</v>
      </c>
      <c r="F39" s="334">
        <v>17933848.139459699</v>
      </c>
    </row>
    <row r="40" spans="1:6">
      <c r="A40" s="348" t="s">
        <v>30</v>
      </c>
      <c r="B40" s="348" t="s">
        <v>29</v>
      </c>
      <c r="C40" s="334">
        <v>0</v>
      </c>
      <c r="D40" s="334">
        <v>0</v>
      </c>
      <c r="E40" s="334">
        <v>0</v>
      </c>
      <c r="F40" s="334">
        <v>0</v>
      </c>
    </row>
    <row r="41" spans="1:6">
      <c r="A41" s="348" t="s">
        <v>32</v>
      </c>
      <c r="B41" s="348" t="s">
        <v>33</v>
      </c>
      <c r="C41" s="334">
        <v>72</v>
      </c>
      <c r="D41" s="334">
        <v>1896651.3028511901</v>
      </c>
      <c r="E41" s="334">
        <v>157</v>
      </c>
      <c r="F41" s="334">
        <v>7604325.9833436403</v>
      </c>
    </row>
    <row r="42" spans="1:6">
      <c r="A42" s="348" t="s">
        <v>32</v>
      </c>
      <c r="B42" s="348" t="s">
        <v>34</v>
      </c>
      <c r="C42" s="334">
        <v>0</v>
      </c>
      <c r="D42" s="334">
        <v>0</v>
      </c>
      <c r="E42" s="334">
        <v>3</v>
      </c>
      <c r="F42" s="334">
        <v>274719.73848995502</v>
      </c>
    </row>
    <row r="43" spans="1:6">
      <c r="A43" s="348" t="s">
        <v>32</v>
      </c>
      <c r="B43" s="348" t="s">
        <v>35</v>
      </c>
      <c r="C43" s="334">
        <v>0</v>
      </c>
      <c r="D43" s="334">
        <v>0</v>
      </c>
      <c r="E43" s="334">
        <v>0</v>
      </c>
      <c r="F43" s="334">
        <v>0</v>
      </c>
    </row>
    <row r="44" spans="1:6">
      <c r="A44" s="348" t="s">
        <v>32</v>
      </c>
      <c r="B44" s="348" t="s">
        <v>36</v>
      </c>
      <c r="C44" s="334">
        <v>13</v>
      </c>
      <c r="D44" s="334">
        <v>4832198.5853392603</v>
      </c>
      <c r="E44" s="334">
        <v>25</v>
      </c>
      <c r="F44" s="334">
        <v>7181139.9525332898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1419239.74147361</v>
      </c>
    </row>
    <row r="48" spans="1:6">
      <c r="A48" s="348" t="s">
        <v>32</v>
      </c>
      <c r="B48" s="348" t="s">
        <v>29</v>
      </c>
      <c r="C48" s="334">
        <v>30</v>
      </c>
      <c r="D48" s="334">
        <v>2990152.9346274701</v>
      </c>
      <c r="E48" s="334">
        <v>27</v>
      </c>
      <c r="F48" s="334">
        <v>3214425.4345182702</v>
      </c>
    </row>
    <row r="49" spans="1:6">
      <c r="A49" s="348" t="s">
        <v>32</v>
      </c>
      <c r="B49" s="348" t="s">
        <v>40</v>
      </c>
      <c r="C49" s="334">
        <v>0</v>
      </c>
      <c r="D49" s="334">
        <v>0</v>
      </c>
      <c r="E49" s="334">
        <v>0</v>
      </c>
      <c r="F49" s="334">
        <v>0</v>
      </c>
    </row>
    <row r="50" spans="1:6">
      <c r="A50" s="348" t="s">
        <v>32</v>
      </c>
      <c r="B50" s="348" t="s">
        <v>41</v>
      </c>
      <c r="C50" s="334">
        <v>5</v>
      </c>
      <c r="D50" s="334">
        <v>380231.92360468401</v>
      </c>
      <c r="E50" s="334">
        <v>11</v>
      </c>
      <c r="F50" s="334">
        <v>329208.24803342199</v>
      </c>
    </row>
    <row r="51" spans="1:6">
      <c r="A51" s="348" t="s">
        <v>42</v>
      </c>
      <c r="B51" s="348" t="s">
        <v>43</v>
      </c>
      <c r="C51" s="334">
        <v>3</v>
      </c>
      <c r="D51" s="334">
        <v>1081004.41309664</v>
      </c>
      <c r="E51" s="334">
        <v>66</v>
      </c>
      <c r="F51" s="334">
        <v>5150730.0932403896</v>
      </c>
    </row>
    <row r="52" spans="1:6">
      <c r="A52" s="348" t="s">
        <v>42</v>
      </c>
      <c r="B52" s="348" t="s">
        <v>29</v>
      </c>
      <c r="C52" s="334">
        <v>6</v>
      </c>
      <c r="D52" s="334">
        <v>126542.752235269</v>
      </c>
      <c r="E52" s="334">
        <v>7</v>
      </c>
      <c r="F52" s="334">
        <v>38522.953831480299</v>
      </c>
    </row>
    <row r="53" spans="1:6">
      <c r="A53" s="348" t="s">
        <v>44</v>
      </c>
      <c r="B53" s="348" t="s">
        <v>45</v>
      </c>
      <c r="C53" s="334">
        <v>68</v>
      </c>
      <c r="D53" s="334">
        <v>1474106.12301859</v>
      </c>
      <c r="E53" s="334">
        <v>169</v>
      </c>
      <c r="F53" s="334">
        <v>1211683.93896462</v>
      </c>
    </row>
    <row r="54" spans="1:6">
      <c r="A54" s="348" t="s">
        <v>46</v>
      </c>
      <c r="B54" s="348" t="s">
        <v>47</v>
      </c>
      <c r="C54" s="334">
        <v>0</v>
      </c>
      <c r="D54" s="334">
        <v>0</v>
      </c>
      <c r="E54" s="334">
        <v>1</v>
      </c>
      <c r="F54" s="334">
        <v>848805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953305.12354517705</v>
      </c>
      <c r="E57" s="334">
        <v>93</v>
      </c>
      <c r="F57" s="334">
        <v>34306543.819338299</v>
      </c>
    </row>
    <row r="58" spans="1:6">
      <c r="A58" s="348" t="s">
        <v>49</v>
      </c>
      <c r="B58" s="348" t="s">
        <v>51</v>
      </c>
      <c r="C58" s="334">
        <v>16</v>
      </c>
      <c r="D58" s="334">
        <v>339391.59714776999</v>
      </c>
      <c r="E58" s="334">
        <v>20</v>
      </c>
      <c r="F58" s="334">
        <v>94979.2323604915</v>
      </c>
    </row>
    <row r="59" spans="1:6">
      <c r="A59" s="348" t="s">
        <v>49</v>
      </c>
      <c r="B59" s="348" t="s">
        <v>52</v>
      </c>
      <c r="C59" s="334">
        <v>75</v>
      </c>
      <c r="D59" s="334">
        <v>2094666.41784333</v>
      </c>
      <c r="E59" s="334">
        <v>129</v>
      </c>
      <c r="F59" s="334">
        <v>3010580.7663156702</v>
      </c>
    </row>
    <row r="60" spans="1:6">
      <c r="A60" s="348" t="s">
        <v>49</v>
      </c>
      <c r="B60" s="348" t="s">
        <v>53</v>
      </c>
      <c r="C60" s="334">
        <v>34</v>
      </c>
      <c r="D60" s="334">
        <v>1628618.30992741</v>
      </c>
      <c r="E60" s="334">
        <v>44</v>
      </c>
      <c r="F60" s="334">
        <v>1110340.71175617</v>
      </c>
    </row>
    <row r="61" spans="1:6">
      <c r="A61" s="348" t="s">
        <v>49</v>
      </c>
      <c r="B61" s="348" t="s">
        <v>54</v>
      </c>
      <c r="C61" s="334">
        <v>82</v>
      </c>
      <c r="D61" s="334">
        <v>5295582.6461319402</v>
      </c>
      <c r="E61" s="334">
        <v>145</v>
      </c>
      <c r="F61" s="334">
        <v>2620254.4082851601</v>
      </c>
    </row>
    <row r="62" spans="1:6">
      <c r="A62" s="348" t="s">
        <v>49</v>
      </c>
      <c r="B62" s="348" t="s">
        <v>55</v>
      </c>
      <c r="C62" s="334">
        <v>0</v>
      </c>
      <c r="D62" s="334">
        <v>0</v>
      </c>
      <c r="E62" s="334">
        <v>0</v>
      </c>
      <c r="F62" s="334">
        <v>0</v>
      </c>
    </row>
    <row r="63" spans="1:6">
      <c r="A63" s="348" t="s">
        <v>49</v>
      </c>
      <c r="B63" s="348" t="s">
        <v>29</v>
      </c>
      <c r="C63" s="334">
        <v>85</v>
      </c>
      <c r="D63" s="334">
        <v>4594776.3659363901</v>
      </c>
      <c r="E63" s="334">
        <v>81</v>
      </c>
      <c r="F63" s="334">
        <v>2724785.8682238399</v>
      </c>
    </row>
    <row r="64" spans="1:6">
      <c r="A64" s="348" t="s">
        <v>56</v>
      </c>
      <c r="B64" s="348" t="s">
        <v>57</v>
      </c>
      <c r="C64" s="334">
        <v>0</v>
      </c>
      <c r="D64" s="334">
        <v>0</v>
      </c>
      <c r="E64" s="334">
        <v>0</v>
      </c>
      <c r="F64" s="334">
        <v>0</v>
      </c>
    </row>
    <row r="65" spans="1:6">
      <c r="A65" s="348" t="s">
        <v>56</v>
      </c>
      <c r="B65" s="348" t="s">
        <v>29</v>
      </c>
      <c r="C65" s="334">
        <v>2</v>
      </c>
      <c r="D65" s="334">
        <v>86766.620022301999</v>
      </c>
      <c r="E65" s="334">
        <v>0</v>
      </c>
      <c r="F65" s="334">
        <v>0</v>
      </c>
    </row>
    <row r="66" spans="1:6">
      <c r="A66" s="348" t="s">
        <v>56</v>
      </c>
      <c r="B66" s="348" t="s">
        <v>58</v>
      </c>
      <c r="C66" s="334">
        <v>0</v>
      </c>
      <c r="D66" s="334">
        <v>0</v>
      </c>
      <c r="E66" s="334">
        <v>5</v>
      </c>
      <c r="F66" s="334">
        <v>14074.2179690672</v>
      </c>
    </row>
    <row r="67" spans="1:6">
      <c r="A67" s="355" t="s">
        <v>56</v>
      </c>
      <c r="B67" s="355" t="s">
        <v>59</v>
      </c>
      <c r="C67" s="334">
        <v>0</v>
      </c>
      <c r="D67" s="334">
        <v>0</v>
      </c>
      <c r="E67" s="334">
        <v>0</v>
      </c>
      <c r="F67" s="334">
        <v>0</v>
      </c>
    </row>
    <row r="68" spans="1:6">
      <c r="A68" s="341" t="s">
        <v>56</v>
      </c>
      <c r="B68" s="341" t="s">
        <v>60</v>
      </c>
      <c r="C68" s="334">
        <v>6</v>
      </c>
      <c r="D68" s="334">
        <v>177948.251971966</v>
      </c>
      <c r="E68" s="334">
        <v>15</v>
      </c>
      <c r="F68" s="334">
        <v>246229.44027826001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32727042</v>
      </c>
      <c r="E73" s="475">
        <v>33243924.379972544</v>
      </c>
    </row>
    <row r="74" spans="1:6">
      <c r="A74" s="348" t="s">
        <v>64</v>
      </c>
      <c r="B74" s="348" t="s">
        <v>657</v>
      </c>
      <c r="C74" s="1295" t="s">
        <v>659</v>
      </c>
      <c r="D74" s="475">
        <v>1729234</v>
      </c>
      <c r="E74" s="475">
        <v>1780072.2678093137</v>
      </c>
    </row>
    <row r="75" spans="1:6">
      <c r="A75" s="348" t="s">
        <v>65</v>
      </c>
      <c r="B75" s="348" t="s">
        <v>656</v>
      </c>
      <c r="C75" s="1295" t="s">
        <v>660</v>
      </c>
      <c r="D75" s="475">
        <v>11921356</v>
      </c>
      <c r="E75" s="475">
        <v>12109644.604267571</v>
      </c>
    </row>
    <row r="76" spans="1:6">
      <c r="A76" s="348" t="s">
        <v>65</v>
      </c>
      <c r="B76" s="348" t="s">
        <v>657</v>
      </c>
      <c r="C76" s="1295" t="s">
        <v>661</v>
      </c>
      <c r="D76" s="475">
        <v>498264</v>
      </c>
      <c r="E76" s="475">
        <v>515198.96097232873</v>
      </c>
    </row>
    <row r="77" spans="1:6">
      <c r="A77" s="348" t="s">
        <v>66</v>
      </c>
      <c r="B77" s="348" t="s">
        <v>656</v>
      </c>
      <c r="C77" s="1295" t="s">
        <v>662</v>
      </c>
      <c r="D77" s="475">
        <v>35880701</v>
      </c>
      <c r="E77" s="475">
        <v>36696218.266886428</v>
      </c>
    </row>
    <row r="78" spans="1:6">
      <c r="A78" s="341" t="s">
        <v>66</v>
      </c>
      <c r="B78" s="341" t="s">
        <v>657</v>
      </c>
      <c r="C78" s="341" t="s">
        <v>663</v>
      </c>
      <c r="D78" s="1296">
        <v>13986760</v>
      </c>
      <c r="E78" s="1296">
        <v>13994423.791228754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206090</v>
      </c>
      <c r="C83" s="475">
        <v>206997.39786305782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27731.414816599579</v>
      </c>
    </row>
    <row r="91" spans="1:6">
      <c r="A91" s="348" t="s">
        <v>68</v>
      </c>
      <c r="B91" s="334">
        <v>3559.2526419594014</v>
      </c>
    </row>
    <row r="92" spans="1:6">
      <c r="A92" s="341" t="s">
        <v>69</v>
      </c>
      <c r="B92" s="342">
        <v>4886.1944244769193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2294</v>
      </c>
    </row>
    <row r="98" spans="1:6">
      <c r="A98" s="348" t="s">
        <v>72</v>
      </c>
      <c r="B98" s="334">
        <v>6</v>
      </c>
    </row>
    <row r="99" spans="1:6">
      <c r="A99" s="348" t="s">
        <v>73</v>
      </c>
      <c r="B99" s="334">
        <v>78</v>
      </c>
    </row>
    <row r="100" spans="1:6">
      <c r="A100" s="348" t="s">
        <v>74</v>
      </c>
      <c r="B100" s="334">
        <v>168</v>
      </c>
    </row>
    <row r="101" spans="1:6">
      <c r="A101" s="348" t="s">
        <v>75</v>
      </c>
      <c r="B101" s="334">
        <v>133</v>
      </c>
    </row>
    <row r="102" spans="1:6">
      <c r="A102" s="348" t="s">
        <v>76</v>
      </c>
      <c r="B102" s="334">
        <v>48</v>
      </c>
    </row>
    <row r="103" spans="1:6">
      <c r="A103" s="348" t="s">
        <v>77</v>
      </c>
      <c r="B103" s="334">
        <v>44</v>
      </c>
    </row>
    <row r="104" spans="1:6">
      <c r="A104" s="348" t="s">
        <v>78</v>
      </c>
      <c r="B104" s="334">
        <v>1624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3</v>
      </c>
      <c r="C121" s="334">
        <v>0</v>
      </c>
    </row>
    <row r="122" spans="1:6">
      <c r="A122" s="348" t="s">
        <v>87</v>
      </c>
      <c r="B122" s="334">
        <v>0</v>
      </c>
      <c r="C122" s="334">
        <v>0</v>
      </c>
    </row>
    <row r="123" spans="1:6">
      <c r="A123" s="348" t="s">
        <v>88</v>
      </c>
      <c r="B123" s="334">
        <v>35</v>
      </c>
      <c r="C123" s="334">
        <v>21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177</v>
      </c>
    </row>
    <row r="130" spans="1:6">
      <c r="A130" s="348" t="s">
        <v>295</v>
      </c>
      <c r="B130" s="334">
        <v>5</v>
      </c>
    </row>
    <row r="131" spans="1:6">
      <c r="A131" s="348" t="s">
        <v>296</v>
      </c>
      <c r="B131" s="334">
        <v>2</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92665.067086504801</v>
      </c>
      <c r="C3" s="43" t="s">
        <v>170</v>
      </c>
      <c r="D3" s="43"/>
      <c r="E3" s="154"/>
      <c r="F3" s="43"/>
      <c r="G3" s="43"/>
      <c r="H3" s="43"/>
      <c r="I3" s="43"/>
      <c r="J3" s="43"/>
      <c r="K3" s="96"/>
    </row>
    <row r="4" spans="1:11">
      <c r="A4" s="383" t="s">
        <v>171</v>
      </c>
      <c r="B4" s="49">
        <f>IF(ISERROR('SEAP template'!B78+'SEAP template'!C78),0,'SEAP template'!B78+'SEAP template'!C78)</f>
        <v>66974.861883035905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6.1269424697729155E-2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43997.142857142855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848.80499999999995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848.80499999999995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6.1269424697729155E-2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52.00579403055599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17933.8481394597</v>
      </c>
      <c r="C5" s="17">
        <f>IF(ISERROR('Eigen informatie GS &amp; warmtenet'!B57),0,'Eigen informatie GS &amp; warmtenet'!B57)</f>
        <v>0</v>
      </c>
      <c r="D5" s="30">
        <f>(SUM(HH_hh_gas_kWh,HH_rest_gas_kWh)/1000)*0.902</f>
        <v>61201.36381053782</v>
      </c>
      <c r="E5" s="17">
        <f>B46*B57</f>
        <v>5030.4057717659261</v>
      </c>
      <c r="F5" s="17">
        <f>B51*B62</f>
        <v>6953.5937919052167</v>
      </c>
      <c r="G5" s="18"/>
      <c r="H5" s="17"/>
      <c r="I5" s="17"/>
      <c r="J5" s="17">
        <f>B50*B61+C50*C61</f>
        <v>0</v>
      </c>
      <c r="K5" s="17"/>
      <c r="L5" s="17"/>
      <c r="M5" s="17"/>
      <c r="N5" s="17">
        <f>B48*B59+C48*C59</f>
        <v>29231.609251275135</v>
      </c>
      <c r="O5" s="17">
        <f>B69*B70*B71</f>
        <v>309.54000000000002</v>
      </c>
      <c r="P5" s="17">
        <f>B77*B78*B79/1000-B77*B78*B79/1000/B80</f>
        <v>1144</v>
      </c>
    </row>
    <row r="6" spans="1:16">
      <c r="A6" s="16" t="s">
        <v>621</v>
      </c>
      <c r="B6" s="788">
        <f>kWh_PV_kleiner_dan_10kW</f>
        <v>3559.2526419594014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21493.100781419103</v>
      </c>
      <c r="C8" s="21">
        <f>C5</f>
        <v>0</v>
      </c>
      <c r="D8" s="21">
        <f>D5</f>
        <v>61201.36381053782</v>
      </c>
      <c r="E8" s="21">
        <f>E5</f>
        <v>5030.4057717659261</v>
      </c>
      <c r="F8" s="21">
        <f>F5</f>
        <v>6953.5937919052167</v>
      </c>
      <c r="G8" s="21"/>
      <c r="H8" s="21"/>
      <c r="I8" s="21"/>
      <c r="J8" s="21">
        <f>J5</f>
        <v>0</v>
      </c>
      <c r="K8" s="21"/>
      <c r="L8" s="21">
        <f>L5</f>
        <v>0</v>
      </c>
      <c r="M8" s="21">
        <f>M5</f>
        <v>0</v>
      </c>
      <c r="N8" s="21">
        <f>N5</f>
        <v>29231.609251275135</v>
      </c>
      <c r="O8" s="21">
        <f>O5</f>
        <v>309.54000000000002</v>
      </c>
      <c r="P8" s="21">
        <f>P5</f>
        <v>1144</v>
      </c>
    </row>
    <row r="9" spans="1:16">
      <c r="B9" s="19"/>
      <c r="C9" s="19"/>
      <c r="D9" s="258"/>
      <c r="E9" s="19"/>
      <c r="F9" s="19"/>
      <c r="G9" s="19"/>
      <c r="H9" s="19"/>
      <c r="I9" s="19"/>
      <c r="J9" s="19"/>
      <c r="K9" s="19"/>
      <c r="L9" s="19"/>
      <c r="M9" s="19"/>
      <c r="N9" s="19"/>
      <c r="O9" s="19"/>
      <c r="P9" s="19"/>
    </row>
    <row r="10" spans="1:16">
      <c r="A10" s="24" t="s">
        <v>214</v>
      </c>
      <c r="B10" s="25">
        <f ca="1">'EF ele_warmte'!B12</f>
        <v>6.1269424697729155E-2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1316.8699198478614</v>
      </c>
      <c r="C12" s="23">
        <f ca="1">C10*C8</f>
        <v>0</v>
      </c>
      <c r="D12" s="23">
        <f>D8*D10</f>
        <v>12362.675489728641</v>
      </c>
      <c r="E12" s="23">
        <f>E10*E8</f>
        <v>1141.9021101908652</v>
      </c>
      <c r="F12" s="23">
        <f>F10*F8</f>
        <v>1856.6095424386929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2294</v>
      </c>
      <c r="C18" s="166" t="s">
        <v>111</v>
      </c>
      <c r="D18" s="228"/>
      <c r="E18" s="15"/>
    </row>
    <row r="19" spans="1:7">
      <c r="A19" s="171" t="s">
        <v>72</v>
      </c>
      <c r="B19" s="37">
        <f>aantalw2001_ander</f>
        <v>6</v>
      </c>
      <c r="C19" s="166" t="s">
        <v>111</v>
      </c>
      <c r="D19" s="229"/>
      <c r="E19" s="15"/>
    </row>
    <row r="20" spans="1:7">
      <c r="A20" s="171" t="s">
        <v>73</v>
      </c>
      <c r="B20" s="37">
        <f>aantalw2001_propaan</f>
        <v>78</v>
      </c>
      <c r="C20" s="167">
        <f>IF(ISERROR(B20/SUM($B$20,$B$21,$B$22)*100),0,B20/SUM($B$20,$B$21,$B$22)*100)</f>
        <v>20.580474934036939</v>
      </c>
      <c r="D20" s="229"/>
      <c r="E20" s="15"/>
    </row>
    <row r="21" spans="1:7">
      <c r="A21" s="171" t="s">
        <v>74</v>
      </c>
      <c r="B21" s="37">
        <f>aantalw2001_elektriciteit</f>
        <v>168</v>
      </c>
      <c r="C21" s="167">
        <f>IF(ISERROR(B21/SUM($B$20,$B$21,$B$22)*100),0,B21/SUM($B$20,$B$21,$B$22)*100)</f>
        <v>44.327176781002635</v>
      </c>
      <c r="D21" s="229"/>
      <c r="E21" s="15"/>
    </row>
    <row r="22" spans="1:7">
      <c r="A22" s="171" t="s">
        <v>75</v>
      </c>
      <c r="B22" s="37">
        <f>aantalw2001_hout</f>
        <v>133</v>
      </c>
      <c r="C22" s="167">
        <f>IF(ISERROR(B22/SUM($B$20,$B$21,$B$22)*100),0,B22/SUM($B$20,$B$21,$B$22)*100)</f>
        <v>35.092348284960423</v>
      </c>
      <c r="D22" s="229"/>
      <c r="E22" s="15"/>
    </row>
    <row r="23" spans="1:7">
      <c r="A23" s="171" t="s">
        <v>76</v>
      </c>
      <c r="B23" s="37">
        <f>aantalw2001_niet_gespec</f>
        <v>48</v>
      </c>
      <c r="C23" s="166" t="s">
        <v>111</v>
      </c>
      <c r="D23" s="228"/>
      <c r="E23" s="15"/>
    </row>
    <row r="24" spans="1:7">
      <c r="A24" s="171" t="s">
        <v>77</v>
      </c>
      <c r="B24" s="37">
        <f>aantalw2001_steenkool</f>
        <v>44</v>
      </c>
      <c r="C24" s="166" t="s">
        <v>111</v>
      </c>
      <c r="D24" s="229"/>
      <c r="E24" s="15"/>
    </row>
    <row r="25" spans="1:7">
      <c r="A25" s="171" t="s">
        <v>78</v>
      </c>
      <c r="B25" s="37">
        <f>aantalw2001_stookolie</f>
        <v>1624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5283</v>
      </c>
      <c r="C28" s="36"/>
      <c r="D28" s="228"/>
    </row>
    <row r="29" spans="1:7" s="15" customFormat="1">
      <c r="A29" s="230" t="s">
        <v>794</v>
      </c>
      <c r="B29" s="37">
        <f>SUM(HH_hh_gas_aantal,HH_rest_gas_aantal)</f>
        <v>3800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3800</v>
      </c>
      <c r="C32" s="167">
        <f>IF(ISERROR(B32/SUM($B$32,$B$34,$B$35,$B$36,$B$38,$B$39)*100),0,B32/SUM($B$32,$B$34,$B$35,$B$36,$B$38,$B$39)*100)</f>
        <v>72.755121577637368</v>
      </c>
      <c r="D32" s="233"/>
      <c r="G32" s="15"/>
    </row>
    <row r="33" spans="1:7">
      <c r="A33" s="171" t="s">
        <v>72</v>
      </c>
      <c r="B33" s="34" t="s">
        <v>111</v>
      </c>
      <c r="C33" s="167"/>
      <c r="D33" s="233"/>
      <c r="G33" s="15"/>
    </row>
    <row r="34" spans="1:7">
      <c r="A34" s="171" t="s">
        <v>73</v>
      </c>
      <c r="B34" s="33">
        <f>IF((($B$28-$B$32-$B$39-$B$77-$B$38)*C20/100)&lt;0,0,($B$28-$B$32-$B$39-$B$77-$B$38)*C20/100)</f>
        <v>237.58100263852245</v>
      </c>
      <c r="C34" s="167">
        <f>IF(ISERROR(B34/SUM($B$32,$B$34,$B$35,$B$36,$B$38,$B$39)*100),0,B34/SUM($B$32,$B$34,$B$35,$B$36,$B$38,$B$39)*100)</f>
        <v>4.548745981974391</v>
      </c>
      <c r="D34" s="233"/>
      <c r="G34" s="15"/>
    </row>
    <row r="35" spans="1:7">
      <c r="A35" s="171" t="s">
        <v>74</v>
      </c>
      <c r="B35" s="33">
        <f>IF((($B$28-$B$32-$B$39-$B$77-$B$38)*C21/100)&lt;0,0,($B$28-$B$32-$B$39-$B$77-$B$38)*C21/100)</f>
        <v>511.7129287598944</v>
      </c>
      <c r="C35" s="167">
        <f>IF(ISERROR(B35/SUM($B$32,$B$34,$B$35,$B$36,$B$38,$B$39)*100),0,B35/SUM($B$32,$B$34,$B$35,$B$36,$B$38,$B$39)*100)</f>
        <v>9.7972990380986857</v>
      </c>
      <c r="D35" s="233"/>
      <c r="G35" s="15"/>
    </row>
    <row r="36" spans="1:7">
      <c r="A36" s="171" t="s">
        <v>75</v>
      </c>
      <c r="B36" s="33">
        <f>IF((($B$28-$B$32-$B$39-$B$77-$B$38)*C22/100)&lt;0,0,($B$28-$B$32-$B$39-$B$77-$B$38)*C22/100)</f>
        <v>405.10606860158316</v>
      </c>
      <c r="C36" s="167">
        <f>IF(ISERROR(B36/SUM($B$32,$B$34,$B$35,$B$36,$B$38,$B$39)*100),0,B36/SUM($B$32,$B$34,$B$35,$B$36,$B$38,$B$39)*100)</f>
        <v>7.7561950718281283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268.59999999999991</v>
      </c>
      <c r="C39" s="167">
        <f>IF(ISERROR(B39/SUM($B$32,$B$34,$B$35,$B$36,$B$38,$B$39)*100),0,B39/SUM($B$32,$B$34,$B$35,$B$36,$B$38,$B$39)*100)</f>
        <v>5.1426383304614189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3800</v>
      </c>
      <c r="C44" s="34" t="s">
        <v>111</v>
      </c>
      <c r="D44" s="174"/>
    </row>
    <row r="45" spans="1:7">
      <c r="A45" s="171" t="s">
        <v>72</v>
      </c>
      <c r="B45" s="33" t="str">
        <f t="shared" si="0"/>
        <v>-</v>
      </c>
      <c r="C45" s="34" t="s">
        <v>111</v>
      </c>
      <c r="D45" s="174"/>
    </row>
    <row r="46" spans="1:7">
      <c r="A46" s="171" t="s">
        <v>73</v>
      </c>
      <c r="B46" s="33">
        <f t="shared" si="0"/>
        <v>237.58100263852245</v>
      </c>
      <c r="C46" s="34" t="s">
        <v>111</v>
      </c>
      <c r="D46" s="174"/>
    </row>
    <row r="47" spans="1:7">
      <c r="A47" s="171" t="s">
        <v>74</v>
      </c>
      <c r="B47" s="33">
        <f t="shared" si="0"/>
        <v>511.7129287598944</v>
      </c>
      <c r="C47" s="34" t="s">
        <v>111</v>
      </c>
      <c r="D47" s="174"/>
    </row>
    <row r="48" spans="1:7">
      <c r="A48" s="171" t="s">
        <v>75</v>
      </c>
      <c r="B48" s="33">
        <f t="shared" si="0"/>
        <v>405.10606860158316</v>
      </c>
      <c r="C48" s="33">
        <f>B48*10</f>
        <v>4051.0606860158314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268.59999999999991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43867.48480627963</v>
      </c>
      <c r="C5" s="17">
        <f>IF(ISERROR('Eigen informatie GS &amp; warmtenet'!B58),0,'Eigen informatie GS &amp; warmtenet'!B58)</f>
        <v>0</v>
      </c>
      <c r="D5" s="30">
        <f>SUM(D6:D12)</f>
        <v>13445.519095399881</v>
      </c>
      <c r="E5" s="17">
        <f>SUM(E6:E12)</f>
        <v>199.84417389085729</v>
      </c>
      <c r="F5" s="17">
        <f>SUM(F6:F12)</f>
        <v>10575.634352742889</v>
      </c>
      <c r="G5" s="18"/>
      <c r="H5" s="17"/>
      <c r="I5" s="17"/>
      <c r="J5" s="17">
        <f>SUM(J6:J12)</f>
        <v>0.75125872612327393</v>
      </c>
      <c r="K5" s="17"/>
      <c r="L5" s="17"/>
      <c r="M5" s="17"/>
      <c r="N5" s="17">
        <f>SUM(N6:N12)</f>
        <v>29404.584919657955</v>
      </c>
      <c r="O5" s="17">
        <f>B38*B39*B40</f>
        <v>7.8166666666666664</v>
      </c>
      <c r="P5" s="17">
        <f>B46*B47*B48/1000-B46*B47*B48/1000/B49</f>
        <v>95.333333333333343</v>
      </c>
      <c r="R5" s="32"/>
    </row>
    <row r="6" spans="1:18">
      <c r="A6" s="32" t="s">
        <v>54</v>
      </c>
      <c r="B6" s="37">
        <f>B26</f>
        <v>2620.25440828516</v>
      </c>
      <c r="C6" s="33"/>
      <c r="D6" s="37">
        <f>IF(ISERROR(TER_kantoor_gas_kWh/1000),0,TER_kantoor_gas_kWh/1000)*0.902</f>
        <v>4776.6155468110101</v>
      </c>
      <c r="E6" s="33">
        <f>$C$26*'E Balans VL '!I12/100/3.6*1000000</f>
        <v>1.6422883148168203E-2</v>
      </c>
      <c r="F6" s="33">
        <f>$C$26*('E Balans VL '!L12+'E Balans VL '!N12)/100/3.6*1000000</f>
        <v>393.75102067412172</v>
      </c>
      <c r="G6" s="34"/>
      <c r="H6" s="33"/>
      <c r="I6" s="33"/>
      <c r="J6" s="33">
        <f>$C$26*('E Balans VL '!D12+'E Balans VL '!E12)/100/3.6*1000000</f>
        <v>0</v>
      </c>
      <c r="K6" s="33"/>
      <c r="L6" s="33"/>
      <c r="M6" s="33"/>
      <c r="N6" s="33">
        <f>$C$26*'E Balans VL '!Y12/100/3.6*1000000</f>
        <v>2.5058848461736294</v>
      </c>
      <c r="O6" s="33"/>
      <c r="P6" s="33"/>
      <c r="R6" s="32"/>
    </row>
    <row r="7" spans="1:18">
      <c r="A7" s="32" t="s">
        <v>53</v>
      </c>
      <c r="B7" s="37">
        <f t="shared" ref="B7:B12" si="0">B27</f>
        <v>1110.3407117561701</v>
      </c>
      <c r="C7" s="33"/>
      <c r="D7" s="37">
        <f>IF(ISERROR(TER_horeca_gas_kWh/1000),0,TER_horeca_gas_kWh/1000)*0.902</f>
        <v>1469.0137155545237</v>
      </c>
      <c r="E7" s="33">
        <f>$C$27*'E Balans VL '!I9/100/3.6*1000000</f>
        <v>15.899894044891896</v>
      </c>
      <c r="F7" s="33">
        <f>$C$27*('E Balans VL '!L9+'E Balans VL '!N9)/100/3.6*1000000</f>
        <v>140.60575455583924</v>
      </c>
      <c r="G7" s="34"/>
      <c r="H7" s="33"/>
      <c r="I7" s="33"/>
      <c r="J7" s="33">
        <f>$C$27*('E Balans VL '!D9+'E Balans VL '!E9)/100/3.6*1000000</f>
        <v>0</v>
      </c>
      <c r="K7" s="33"/>
      <c r="L7" s="33"/>
      <c r="M7" s="33"/>
      <c r="N7" s="33">
        <f>$C$27*'E Balans VL '!Y9/100/3.6*1000000</f>
        <v>0.31919847371863797</v>
      </c>
      <c r="O7" s="33"/>
      <c r="P7" s="33"/>
      <c r="R7" s="32"/>
    </row>
    <row r="8" spans="1:18">
      <c r="A8" s="6" t="s">
        <v>52</v>
      </c>
      <c r="B8" s="37">
        <f t="shared" si="0"/>
        <v>3010.5807663156702</v>
      </c>
      <c r="C8" s="33"/>
      <c r="D8" s="37">
        <f>IF(ISERROR(TER_handel_gas_kWh/1000),0,TER_handel_gas_kWh/1000)*0.902</f>
        <v>1889.3891088946834</v>
      </c>
      <c r="E8" s="33">
        <f>$C$28*'E Balans VL '!I13/100/3.6*1000000</f>
        <v>109.19339314608175</v>
      </c>
      <c r="F8" s="33">
        <f>$C$28*('E Balans VL '!L13+'E Balans VL '!N13)/100/3.6*1000000</f>
        <v>579.86833966077347</v>
      </c>
      <c r="G8" s="34"/>
      <c r="H8" s="33"/>
      <c r="I8" s="33"/>
      <c r="J8" s="33">
        <f>$C$28*('E Balans VL '!D13+'E Balans VL '!E13)/100/3.6*1000000</f>
        <v>0</v>
      </c>
      <c r="K8" s="33"/>
      <c r="L8" s="33"/>
      <c r="M8" s="33"/>
      <c r="N8" s="33">
        <f>$C$28*'E Balans VL '!Y13/100/3.6*1000000</f>
        <v>4.1703470650878707</v>
      </c>
      <c r="O8" s="33"/>
      <c r="P8" s="33"/>
      <c r="R8" s="32"/>
    </row>
    <row r="9" spans="1:18">
      <c r="A9" s="32" t="s">
        <v>51</v>
      </c>
      <c r="B9" s="37">
        <f t="shared" si="0"/>
        <v>94.979232360491494</v>
      </c>
      <c r="C9" s="33"/>
      <c r="D9" s="37">
        <f>IF(ISERROR(TER_gezond_gas_kWh/1000),0,TER_gezond_gas_kWh/1000)*0.902</f>
        <v>306.13122062728854</v>
      </c>
      <c r="E9" s="33">
        <f>$C$29*'E Balans VL '!I10/100/3.6*1000000</f>
        <v>5.9466376962719024E-3</v>
      </c>
      <c r="F9" s="33">
        <f>$C$29*('E Balans VL '!L10+'E Balans VL '!N10)/100/3.6*1000000</f>
        <v>14.1094541513731</v>
      </c>
      <c r="G9" s="34"/>
      <c r="H9" s="33"/>
      <c r="I9" s="33"/>
      <c r="J9" s="33">
        <f>$C$29*('E Balans VL '!D10+'E Balans VL '!E10)/100/3.6*1000000</f>
        <v>0</v>
      </c>
      <c r="K9" s="33"/>
      <c r="L9" s="33"/>
      <c r="M9" s="33"/>
      <c r="N9" s="33">
        <f>$C$29*'E Balans VL '!Y10/100/3.6*1000000</f>
        <v>1.4691479308646038</v>
      </c>
      <c r="O9" s="33"/>
      <c r="P9" s="33"/>
      <c r="R9" s="32"/>
    </row>
    <row r="10" spans="1:18">
      <c r="A10" s="32" t="s">
        <v>50</v>
      </c>
      <c r="B10" s="37">
        <f t="shared" si="0"/>
        <v>34306.543819338302</v>
      </c>
      <c r="C10" s="33"/>
      <c r="D10" s="37">
        <f>IF(ISERROR(TER_ander_gas_kWh/1000),0,TER_ander_gas_kWh/1000)*0.902</f>
        <v>859.88122143774967</v>
      </c>
      <c r="E10" s="33">
        <f>$C$30*'E Balans VL '!I14/100/3.6*1000000</f>
        <v>40.892174323917324</v>
      </c>
      <c r="F10" s="33">
        <f>$C$30*('E Balans VL '!L14+'E Balans VL '!N14)/100/3.6*1000000</f>
        <v>8976.117012287099</v>
      </c>
      <c r="G10" s="34"/>
      <c r="H10" s="33"/>
      <c r="I10" s="33"/>
      <c r="J10" s="33">
        <f>$C$30*('E Balans VL '!D14+'E Balans VL '!E14)/100/3.6*1000000</f>
        <v>0.74466058837926197</v>
      </c>
      <c r="K10" s="33"/>
      <c r="L10" s="33"/>
      <c r="M10" s="33"/>
      <c r="N10" s="33">
        <f>$C$30*'E Balans VL '!Y14/100/3.6*1000000</f>
        <v>29132.277542071191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2724.7858682238398</v>
      </c>
      <c r="C12" s="33"/>
      <c r="D12" s="37">
        <f>IF(ISERROR(TER_rest_gas_kWh/1000),0,TER_rest_gas_kWh/1000)*0.902</f>
        <v>4144.4882820746243</v>
      </c>
      <c r="E12" s="33">
        <f>$C$32*'E Balans VL '!I8/100/3.6*1000000</f>
        <v>33.836342855121885</v>
      </c>
      <c r="F12" s="33">
        <f>$C$32*('E Balans VL '!L8+'E Balans VL '!N8)/100/3.6*1000000</f>
        <v>471.1827714136835</v>
      </c>
      <c r="G12" s="34"/>
      <c r="H12" s="33"/>
      <c r="I12" s="33"/>
      <c r="J12" s="33">
        <f>$C$32*('E Balans VL '!D8+'E Balans VL '!E8)/100/3.6*1000000</f>
        <v>6.5981377440120009E-3</v>
      </c>
      <c r="K12" s="33"/>
      <c r="L12" s="33"/>
      <c r="M12" s="33"/>
      <c r="N12" s="33">
        <f>$C$32*'E Balans VL '!Y8/100/3.6*1000000</f>
        <v>263.84279927091836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43867.48480627963</v>
      </c>
      <c r="C16" s="21">
        <f t="shared" ca="1" si="1"/>
        <v>0</v>
      </c>
      <c r="D16" s="21">
        <f t="shared" ca="1" si="1"/>
        <v>13445.519095399881</v>
      </c>
      <c r="E16" s="21">
        <f t="shared" si="1"/>
        <v>199.84417389085729</v>
      </c>
      <c r="F16" s="21">
        <f t="shared" ca="1" si="1"/>
        <v>10575.634352742889</v>
      </c>
      <c r="G16" s="21">
        <f t="shared" si="1"/>
        <v>0</v>
      </c>
      <c r="H16" s="21">
        <f t="shared" si="1"/>
        <v>0</v>
      </c>
      <c r="I16" s="21">
        <f t="shared" si="1"/>
        <v>0</v>
      </c>
      <c r="J16" s="21">
        <f t="shared" si="1"/>
        <v>0.75125872612327393</v>
      </c>
      <c r="K16" s="21">
        <f t="shared" si="1"/>
        <v>0</v>
      </c>
      <c r="L16" s="21">
        <f t="shared" ca="1" si="1"/>
        <v>0</v>
      </c>
      <c r="M16" s="21">
        <f t="shared" si="1"/>
        <v>0</v>
      </c>
      <c r="N16" s="21">
        <f t="shared" ca="1" si="1"/>
        <v>29404.584919657955</v>
      </c>
      <c r="O16" s="21">
        <f>O5</f>
        <v>7.8166666666666664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6.1269424697729155E-2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2687.7355570171276</v>
      </c>
      <c r="C20" s="23">
        <f t="shared" ref="C20:P20" ca="1" si="2">C16*C18</f>
        <v>0</v>
      </c>
      <c r="D20" s="23">
        <f t="shared" ca="1" si="2"/>
        <v>2715.9948572707763</v>
      </c>
      <c r="E20" s="23">
        <f t="shared" si="2"/>
        <v>45.364627473224608</v>
      </c>
      <c r="F20" s="23">
        <f t="shared" ca="1" si="2"/>
        <v>2823.6943721823513</v>
      </c>
      <c r="G20" s="23">
        <f t="shared" si="2"/>
        <v>0</v>
      </c>
      <c r="H20" s="23">
        <f t="shared" si="2"/>
        <v>0</v>
      </c>
      <c r="I20" s="23">
        <f t="shared" si="2"/>
        <v>0</v>
      </c>
      <c r="J20" s="23">
        <f t="shared" si="2"/>
        <v>0.26594558904763899</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2620.25440828516</v>
      </c>
      <c r="C26" s="39">
        <f>IF(ISERROR(B26*3.6/1000000/'E Balans VL '!Z12*100),0,B26*3.6/1000000/'E Balans VL '!Z12*100)</f>
        <v>5.5388027372882932E-2</v>
      </c>
      <c r="D26" s="237" t="s">
        <v>754</v>
      </c>
      <c r="F26" s="6"/>
    </row>
    <row r="27" spans="1:18">
      <c r="A27" s="231" t="s">
        <v>53</v>
      </c>
      <c r="B27" s="33">
        <f>IF(ISERROR(TER_horeca_ele_kWh/1000),0,TER_horeca_ele_kWh/1000)</f>
        <v>1110.3407117561701</v>
      </c>
      <c r="C27" s="39">
        <f>IF(ISERROR(B27*3.6/1000000/'E Balans VL '!Z9*100),0,B27*3.6/1000000/'E Balans VL '!Z9*100)</f>
        <v>8.7527744462628065E-2</v>
      </c>
      <c r="D27" s="237" t="s">
        <v>754</v>
      </c>
      <c r="F27" s="6"/>
    </row>
    <row r="28" spans="1:18">
      <c r="A28" s="171" t="s">
        <v>52</v>
      </c>
      <c r="B28" s="33">
        <f>IF(ISERROR(TER_handel_ele_kWh/1000),0,TER_handel_ele_kWh/1000)</f>
        <v>3010.5807663156702</v>
      </c>
      <c r="C28" s="39">
        <f>IF(ISERROR(B28*3.6/1000000/'E Balans VL '!Z13*100),0,B28*3.6/1000000/'E Balans VL '!Z13*100)</f>
        <v>8.7379217947839372E-2</v>
      </c>
      <c r="D28" s="237" t="s">
        <v>754</v>
      </c>
      <c r="F28" s="6"/>
    </row>
    <row r="29" spans="1:18">
      <c r="A29" s="231" t="s">
        <v>51</v>
      </c>
      <c r="B29" s="33">
        <f>IF(ISERROR(TER_gezond_ele_kWh/1000),0,TER_gezond_ele_kWh/1000)</f>
        <v>94.979232360491494</v>
      </c>
      <c r="C29" s="39">
        <f>IF(ISERROR(B29*3.6/1000000/'E Balans VL '!Z10*100),0,B29*3.6/1000000/'E Balans VL '!Z10*100)</f>
        <v>1.0002872767722529E-2</v>
      </c>
      <c r="D29" s="237" t="s">
        <v>754</v>
      </c>
      <c r="F29" s="6"/>
    </row>
    <row r="30" spans="1:18">
      <c r="A30" s="231" t="s">
        <v>50</v>
      </c>
      <c r="B30" s="33">
        <f>IF(ISERROR(TER_ander_ele_kWh/1000),0,TER_ander_ele_kWh/1000)</f>
        <v>34306.543819338302</v>
      </c>
      <c r="C30" s="39">
        <f>IF(ISERROR(B30*3.6/1000000/'E Balans VL '!Z14*100),0,B30*3.6/1000000/'E Balans VL '!Z14*100)</f>
        <v>2.5304581234586445</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2724.7858682238398</v>
      </c>
      <c r="C32" s="39">
        <f>IF(ISERROR(B32*3.6/1000000/'E Balans VL '!Z8*100),0,B32*3.6/1000000/'E Balans VL '!Z8*100)</f>
        <v>2.2421370909897931E-2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20023.05909839219</v>
      </c>
      <c r="C5" s="17">
        <f>IF(ISERROR('Eigen informatie GS &amp; warmtenet'!B59),0,'Eigen informatie GS &amp; warmtenet'!B59)</f>
        <v>0</v>
      </c>
      <c r="D5" s="30">
        <f>SUM(D6:D15)</f>
        <v>9109.5097412731902</v>
      </c>
      <c r="E5" s="17">
        <f>SUM(E6:E15)</f>
        <v>2469.789998991364</v>
      </c>
      <c r="F5" s="17">
        <f>SUM(F6:F15)</f>
        <v>7479.2068961200921</v>
      </c>
      <c r="G5" s="18"/>
      <c r="H5" s="17"/>
      <c r="I5" s="17"/>
      <c r="J5" s="17">
        <f>SUM(J6:J15)</f>
        <v>11.727080681911424</v>
      </c>
      <c r="K5" s="17"/>
      <c r="L5" s="17"/>
      <c r="M5" s="17"/>
      <c r="N5" s="17">
        <f>SUM(N6:N15)</f>
        <v>7490.331907951635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7181.1399525332899</v>
      </c>
      <c r="C8" s="33"/>
      <c r="D8" s="37">
        <f>IF( ISERROR(IND_metaal_Gas_kWH/1000),0,IND_metaal_Gas_kWH/1000)*0.902</f>
        <v>4358.6431239760132</v>
      </c>
      <c r="E8" s="33">
        <f>C30*'E Balans VL '!I18/100/3.6*1000000</f>
        <v>66.023646252619585</v>
      </c>
      <c r="F8" s="33">
        <f>C30*'E Balans VL '!L18/100/3.6*1000000+C30*'E Balans VL '!N18/100/3.6*1000000</f>
        <v>673.3518431973888</v>
      </c>
      <c r="G8" s="34"/>
      <c r="H8" s="33"/>
      <c r="I8" s="33"/>
      <c r="J8" s="40">
        <f>C30*'E Balans VL '!D18/100/3.6*1000000+C30*'E Balans VL '!E18/100/3.6*1000000</f>
        <v>0</v>
      </c>
      <c r="K8" s="33"/>
      <c r="L8" s="33"/>
      <c r="M8" s="33"/>
      <c r="N8" s="33">
        <f>C30*'E Balans VL '!Y18/100/3.6*1000000</f>
        <v>102.45082875640482</v>
      </c>
      <c r="O8" s="33"/>
      <c r="P8" s="33"/>
      <c r="R8" s="32"/>
    </row>
    <row r="9" spans="1:18">
      <c r="A9" s="6" t="s">
        <v>33</v>
      </c>
      <c r="B9" s="37">
        <f t="shared" si="0"/>
        <v>7604.3259833436405</v>
      </c>
      <c r="C9" s="33"/>
      <c r="D9" s="37">
        <f>IF( ISERROR(IND_andere_gas_kWh/1000),0,IND_andere_gas_kWh/1000)*0.902</f>
        <v>1710.7794751717736</v>
      </c>
      <c r="E9" s="33">
        <f>C31*'E Balans VL '!I19/100/3.6*1000000</f>
        <v>2222.89252369717</v>
      </c>
      <c r="F9" s="33">
        <f>C31*'E Balans VL '!L19/100/3.6*1000000+C31*'E Balans VL '!N19/100/3.6*1000000</f>
        <v>6110.6515222045155</v>
      </c>
      <c r="G9" s="34"/>
      <c r="H9" s="33"/>
      <c r="I9" s="33"/>
      <c r="J9" s="40">
        <f>C31*'E Balans VL '!D19/100/3.6*1000000+C31*'E Balans VL '!E19/100/3.6*1000000</f>
        <v>0</v>
      </c>
      <c r="K9" s="33"/>
      <c r="L9" s="33"/>
      <c r="M9" s="33"/>
      <c r="N9" s="33">
        <f>C31*'E Balans VL '!Y19/100/3.6*1000000</f>
        <v>2512.5872396311606</v>
      </c>
      <c r="O9" s="33"/>
      <c r="P9" s="33"/>
      <c r="R9" s="32"/>
    </row>
    <row r="10" spans="1:18">
      <c r="A10" s="6" t="s">
        <v>41</v>
      </c>
      <c r="B10" s="37">
        <f t="shared" si="0"/>
        <v>329.20824803342197</v>
      </c>
      <c r="C10" s="33"/>
      <c r="D10" s="37">
        <f>IF( ISERROR(IND_voed_gas_kWh/1000),0,IND_voed_gas_kWh/1000)*0.902</f>
        <v>342.96919509142498</v>
      </c>
      <c r="E10" s="33">
        <f>C32*'E Balans VL '!I20/100/3.6*1000000</f>
        <v>0.6964451531490462</v>
      </c>
      <c r="F10" s="33">
        <f>C32*'E Balans VL '!L20/100/3.6*1000000+C32*'E Balans VL '!N20/100/3.6*1000000</f>
        <v>20.931396686329176</v>
      </c>
      <c r="G10" s="34"/>
      <c r="H10" s="33"/>
      <c r="I10" s="33"/>
      <c r="J10" s="40">
        <f>C32*'E Balans VL '!D20/100/3.6*1000000+C32*'E Balans VL '!E20/100/3.6*1000000</f>
        <v>0</v>
      </c>
      <c r="K10" s="33"/>
      <c r="L10" s="33"/>
      <c r="M10" s="33"/>
      <c r="N10" s="33">
        <f>C32*'E Balans VL '!Y20/100/3.6*1000000</f>
        <v>22.718617820678489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1419.2397414736101</v>
      </c>
      <c r="C13" s="33"/>
      <c r="D13" s="37">
        <f>IF( ISERROR(IND_papier_gas_kWh/1000),0,IND_papier_gas_kWh/1000)*0.902</f>
        <v>0</v>
      </c>
      <c r="E13" s="33">
        <f>C35*'E Balans VL '!I23/100/3.6*1000000</f>
        <v>2.0135766155418677</v>
      </c>
      <c r="F13" s="33">
        <f>C35*'E Balans VL '!L23/100/3.6*1000000+C35*'E Balans VL '!N23/100/3.6*1000000</f>
        <v>34.648978774878415</v>
      </c>
      <c r="G13" s="34"/>
      <c r="H13" s="33"/>
      <c r="I13" s="33"/>
      <c r="J13" s="40">
        <f>C35*'E Balans VL '!D23/100/3.6*1000000+C35*'E Balans VL '!E23/100/3.6*1000000</f>
        <v>0.21949875065355612</v>
      </c>
      <c r="K13" s="33"/>
      <c r="L13" s="33"/>
      <c r="M13" s="33"/>
      <c r="N13" s="33">
        <f>C35*'E Balans VL '!Y23/100/3.6*1000000</f>
        <v>4125.3939713412401</v>
      </c>
      <c r="O13" s="33"/>
      <c r="P13" s="33"/>
      <c r="R13" s="32"/>
    </row>
    <row r="14" spans="1:18">
      <c r="A14" s="6" t="s">
        <v>34</v>
      </c>
      <c r="B14" s="37">
        <f t="shared" si="0"/>
        <v>274.71973848995503</v>
      </c>
      <c r="C14" s="33"/>
      <c r="D14" s="37">
        <f>IF( ISERROR(IND_chemie_gas_kWh/1000),0,IND_chemie_gas_kWh/1000)*0.902</f>
        <v>0</v>
      </c>
      <c r="E14" s="33">
        <f>C36*'E Balans VL '!I24/100/3.6*1000000</f>
        <v>0.67628128379082508</v>
      </c>
      <c r="F14" s="33">
        <f>C36*'E Balans VL '!L24/100/3.6*1000000+C36*'E Balans VL '!N24/100/3.6*1000000</f>
        <v>2.9416860751511757</v>
      </c>
      <c r="G14" s="34"/>
      <c r="H14" s="33"/>
      <c r="I14" s="33"/>
      <c r="J14" s="40">
        <f>C36*'E Balans VL '!D24/100/3.6*1000000+C36*'E Balans VL '!E24/100/3.6*1000000</f>
        <v>0</v>
      </c>
      <c r="K14" s="33"/>
      <c r="L14" s="33"/>
      <c r="M14" s="33"/>
      <c r="N14" s="33">
        <f>C36*'E Balans VL '!Y24/100/3.6*1000000</f>
        <v>6.1351699125333914</v>
      </c>
      <c r="O14" s="33"/>
      <c r="P14" s="33"/>
      <c r="R14" s="32"/>
    </row>
    <row r="15" spans="1:18">
      <c r="A15" s="6" t="s">
        <v>270</v>
      </c>
      <c r="B15" s="37">
        <f t="shared" si="0"/>
        <v>3214.4254345182703</v>
      </c>
      <c r="C15" s="33"/>
      <c r="D15" s="37">
        <f>IF( ISERROR(IND_rest_gas_kWh/1000),0,IND_rest_gas_kWh/1000)*0.902</f>
        <v>2697.117947033978</v>
      </c>
      <c r="E15" s="33">
        <f>C37*'E Balans VL '!I15/100/3.6*1000000</f>
        <v>177.48752598909277</v>
      </c>
      <c r="F15" s="33">
        <f>C37*'E Balans VL '!L15/100/3.6*1000000+C37*'E Balans VL '!N15/100/3.6*1000000</f>
        <v>636.68146918182867</v>
      </c>
      <c r="G15" s="34"/>
      <c r="H15" s="33"/>
      <c r="I15" s="33"/>
      <c r="J15" s="40">
        <f>C37*'E Balans VL '!D15/100/3.6*1000000+C37*'E Balans VL '!E15/100/3.6*1000000</f>
        <v>11.507581931257867</v>
      </c>
      <c r="K15" s="33"/>
      <c r="L15" s="33"/>
      <c r="M15" s="33"/>
      <c r="N15" s="33">
        <f>C37*'E Balans VL '!Y15/100/3.6*1000000</f>
        <v>721.04608048961734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20023.05909839219</v>
      </c>
      <c r="C18" s="21">
        <f>C5+C16</f>
        <v>0</v>
      </c>
      <c r="D18" s="21">
        <f>MAX((D5+D16),0)</f>
        <v>9109.5097412731902</v>
      </c>
      <c r="E18" s="21">
        <f>MAX((E5+E16),0)</f>
        <v>2469.789998991364</v>
      </c>
      <c r="F18" s="21">
        <f>MAX((F5+F16),0)</f>
        <v>7479.2068961200921</v>
      </c>
      <c r="G18" s="21"/>
      <c r="H18" s="21"/>
      <c r="I18" s="21"/>
      <c r="J18" s="21">
        <f>MAX((J5+J16),0)</f>
        <v>11.727080681911424</v>
      </c>
      <c r="K18" s="21"/>
      <c r="L18" s="21">
        <f>MAX((L5+L16),0)</f>
        <v>0</v>
      </c>
      <c r="M18" s="21"/>
      <c r="N18" s="21">
        <f>MAX((N5+N16),0)</f>
        <v>7490.331907951635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6.1269424697729155E-2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1226.8013116471209</v>
      </c>
      <c r="C22" s="23">
        <f ca="1">C18*C20</f>
        <v>0</v>
      </c>
      <c r="D22" s="23">
        <f>D18*D20</f>
        <v>1840.1209677371846</v>
      </c>
      <c r="E22" s="23">
        <f>E18*E20</f>
        <v>560.64232977103961</v>
      </c>
      <c r="F22" s="23">
        <f>F18*F20</f>
        <v>1996.9482412640648</v>
      </c>
      <c r="G22" s="23"/>
      <c r="H22" s="23"/>
      <c r="I22" s="23"/>
      <c r="J22" s="23">
        <f>J18*J20</f>
        <v>4.1513865613966443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7181.1399525332899</v>
      </c>
      <c r="C30" s="39">
        <f>IF(ISERROR(B30*3.6/1000000/'E Balans VL '!Z18*100),0,B30*3.6/1000000/'E Balans VL '!Z18*100)</f>
        <v>0.40697361475724153</v>
      </c>
      <c r="D30" s="237" t="s">
        <v>754</v>
      </c>
    </row>
    <row r="31" spans="1:18">
      <c r="A31" s="6" t="s">
        <v>33</v>
      </c>
      <c r="B31" s="37">
        <f>IF( ISERROR(IND_ander_ele_kWh/1000),0,IND_ander_ele_kWh/1000)</f>
        <v>7604.3259833436405</v>
      </c>
      <c r="C31" s="39">
        <f>IF(ISERROR(B31*3.6/1000000/'E Balans VL '!Z19*100),0,B31*3.6/1000000/'E Balans VL '!Z19*100)</f>
        <v>0.34490056274217273</v>
      </c>
      <c r="D31" s="237" t="s">
        <v>754</v>
      </c>
    </row>
    <row r="32" spans="1:18">
      <c r="A32" s="171" t="s">
        <v>41</v>
      </c>
      <c r="B32" s="37">
        <f>IF( ISERROR(IND_voed_ele_kWh/1000),0,IND_voed_ele_kWh/1000)</f>
        <v>329.20824803342197</v>
      </c>
      <c r="C32" s="39">
        <f>IF(ISERROR(B32*3.6/1000000/'E Balans VL '!Z20*100),0,B32*3.6/1000000/'E Balans VL '!Z20*100)</f>
        <v>1.0183905590932718E-2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1419.2397414736101</v>
      </c>
      <c r="C35" s="39">
        <f>IF(ISERROR(B35*3.6/1000000/'E Balans VL '!Z22*100),0,B35*3.6/1000000/'E Balans VL '!Z22*100)</f>
        <v>0.2552769497211349</v>
      </c>
      <c r="D35" s="237" t="s">
        <v>754</v>
      </c>
    </row>
    <row r="36" spans="1:5">
      <c r="A36" s="171" t="s">
        <v>34</v>
      </c>
      <c r="B36" s="37">
        <f>IF( ISERROR(IND_chemie_ele_kWh/1000),0,IND_chemie_ele_kWh/1000)</f>
        <v>274.71973848995503</v>
      </c>
      <c r="C36" s="39">
        <f>IF(ISERROR(B36*3.6/1000000/'E Balans VL '!Z24*100),0,B36*3.6/1000000/'E Balans VL '!Z24*100)</f>
        <v>8.3773105372011956E-3</v>
      </c>
      <c r="D36" s="237" t="s">
        <v>754</v>
      </c>
    </row>
    <row r="37" spans="1:5">
      <c r="A37" s="171" t="s">
        <v>270</v>
      </c>
      <c r="B37" s="37">
        <f>IF( ISERROR(IND_rest_ele_kWh/1000),0,IND_rest_ele_kWh/1000)</f>
        <v>3214.4254345182703</v>
      </c>
      <c r="C37" s="39">
        <f>IF(ISERROR(B37*3.6/1000000/'E Balans VL '!Z15*100),0,B37*3.6/1000000/'E Balans VL '!Z15*100)</f>
        <v>2.5478269258435191E-2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5189.2530470718693</v>
      </c>
      <c r="C5" s="17">
        <f>'Eigen informatie GS &amp; warmtenet'!B60</f>
        <v>0</v>
      </c>
      <c r="D5" s="30">
        <f>IF(ISERROR(SUM(LB_lb_gas_kWh,LB_rest_gas_kWh)/1000),0,SUM(LB_lb_gas_kWh,LB_rest_gas_kWh)/1000)*0.902</f>
        <v>1089.2075431293817</v>
      </c>
      <c r="E5" s="17">
        <f>B17*'E Balans VL '!I25/3.6*1000000/100</f>
        <v>152.52799686165662</v>
      </c>
      <c r="F5" s="17">
        <f>B17*('E Balans VL '!L25/3.6*1000000+'E Balans VL '!N25/3.6*1000000)/100</f>
        <v>21618.147781584943</v>
      </c>
      <c r="G5" s="18"/>
      <c r="H5" s="17"/>
      <c r="I5" s="17"/>
      <c r="J5" s="17">
        <f>('E Balans VL '!D25+'E Balans VL '!E25)/3.6*1000000*landbouw!B17/100</f>
        <v>751.81132603588139</v>
      </c>
      <c r="K5" s="17"/>
      <c r="L5" s="17">
        <f>L6*(-1)</f>
        <v>0</v>
      </c>
      <c r="M5" s="17"/>
      <c r="N5" s="17">
        <f>N6*(-1)</f>
        <v>87994.28571428571</v>
      </c>
      <c r="O5" s="17"/>
      <c r="P5" s="17"/>
      <c r="R5" s="32"/>
    </row>
    <row r="6" spans="1:18">
      <c r="A6" s="16" t="s">
        <v>488</v>
      </c>
      <c r="B6" s="17" t="s">
        <v>211</v>
      </c>
      <c r="C6" s="17">
        <f>'lokale energieproductie'!O92+'lokale energieproductie'!O61</f>
        <v>43997.142857142855</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-87994.28571428571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5189.2530470718693</v>
      </c>
      <c r="C8" s="21">
        <f>C5+C6</f>
        <v>43997.142857142855</v>
      </c>
      <c r="D8" s="21">
        <f>MAX((D5+D6),0)</f>
        <v>1089.2075431293817</v>
      </c>
      <c r="E8" s="21">
        <f>MAX((E5+E6),0)</f>
        <v>152.52799686165662</v>
      </c>
      <c r="F8" s="21">
        <f>MAX((F5+F6),0)</f>
        <v>21618.147781584943</v>
      </c>
      <c r="G8" s="21"/>
      <c r="H8" s="21"/>
      <c r="I8" s="21"/>
      <c r="J8" s="21">
        <f>MAX((J5+J6),0)</f>
        <v>751.81132603588139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6.1269424697729155E-2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317.94254880503149</v>
      </c>
      <c r="C12" s="23">
        <f ca="1">C8*C10</f>
        <v>0</v>
      </c>
      <c r="D12" s="23">
        <f>D8*D10</f>
        <v>220.01992371213512</v>
      </c>
      <c r="E12" s="23">
        <f>E8*E10</f>
        <v>34.623855287596051</v>
      </c>
      <c r="F12" s="23">
        <f>F8*F10</f>
        <v>5772.0454576831798</v>
      </c>
      <c r="G12" s="23"/>
      <c r="H12" s="23"/>
      <c r="I12" s="23"/>
      <c r="J12" s="23">
        <f>J8*J10</f>
        <v>266.141209416702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0.7363712881644201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410.55499077790449</v>
      </c>
      <c r="C26" s="247">
        <f>B26*'GWP N2O_CH4'!B5</f>
        <v>8621.6548063359951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263.81958193929205</v>
      </c>
      <c r="C27" s="247">
        <f>B27*'GWP N2O_CH4'!B5</f>
        <v>5540.211220725133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8.9121012966101532</v>
      </c>
      <c r="C28" s="247">
        <f>B28*'GWP N2O_CH4'!B4</f>
        <v>2762.7514019491473</v>
      </c>
      <c r="D28" s="50"/>
    </row>
    <row r="29" spans="1:4">
      <c r="A29" s="41" t="s">
        <v>277</v>
      </c>
      <c r="B29" s="247">
        <f>B34*'ha_N2O bodem landbouw'!B4</f>
        <v>16.021812135321458</v>
      </c>
      <c r="C29" s="247">
        <f>B29*'GWP N2O_CH4'!B4</f>
        <v>4966.7617619496523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3.6561223156594456E-3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1.1404949175868365E-4</v>
      </c>
      <c r="C5" s="463" t="s">
        <v>211</v>
      </c>
      <c r="D5" s="448">
        <f>SUM(D6:D11)</f>
        <v>3.8850028572220101E-4</v>
      </c>
      <c r="E5" s="448">
        <f>SUM(E6:E11)</f>
        <v>5.7510512312909027E-4</v>
      </c>
      <c r="F5" s="461" t="s">
        <v>211</v>
      </c>
      <c r="G5" s="448">
        <f>SUM(G6:G11)</f>
        <v>0.28639231668342846</v>
      </c>
      <c r="H5" s="448">
        <f>SUM(H6:H11)</f>
        <v>4.4702301233418666E-2</v>
      </c>
      <c r="I5" s="463" t="s">
        <v>211</v>
      </c>
      <c r="J5" s="463" t="s">
        <v>211</v>
      </c>
      <c r="K5" s="463" t="s">
        <v>211</v>
      </c>
      <c r="L5" s="463" t="s">
        <v>211</v>
      </c>
      <c r="M5" s="448">
        <f>SUM(M6:M11)</f>
        <v>1.8051501952666471E-2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4.6349736346424217E-5</v>
      </c>
      <c r="C6" s="449"/>
      <c r="D6" s="892">
        <f>vkm_2011_GW_PW*SUMIFS(TableVerdeelsleutelVkm[CNG],TableVerdeelsleutelVkm[Voertuigtype],"Lichte voertuigen")*SUMIFS(TableECFTransport[EnergieConsumptieFactor (PJ per km)],TableECFTransport[Index],CONCATENATE($A6,"_CNG_CNG"))</f>
        <v>1.390226067103839E-4</v>
      </c>
      <c r="E6" s="892">
        <f>vkm_2011_GW_PW*SUMIFS(TableVerdeelsleutelVkm[LPG],TableVerdeelsleutelVkm[Voertuigtype],"Lichte voertuigen")*SUMIFS(TableECFTransport[EnergieConsumptieFactor (PJ per km)],TableECFTransport[Index],CONCATENATE($A6,"_LPG_LPG"))</f>
        <v>1.8992485037969074E-4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4.9105860017727494E-2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1.58122218447042E-2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3.3354434102472429E-3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1.6227216739920211E-2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4.9457259236080655E-6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9.4826379875920979E-4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1.6883643425270834E-5</v>
      </c>
      <c r="C8" s="449"/>
      <c r="D8" s="451">
        <f>vkm_2011_NGW_PW*SUMIFS(TableVerdeelsleutelVkm[CNG],TableVerdeelsleutelVkm[Voertuigtype],"Lichte voertuigen")*SUMIFS(TableECFTransport[EnergieConsumptieFactor (PJ per km)],TableECFTransport[Index],CONCATENATE($A8,"_CNG_CNG"))</f>
        <v>9.0040691925233836E-5</v>
      </c>
      <c r="E8" s="451">
        <f>vkm_2011_NGW_PW*SUMIFS(TableVerdeelsleutelVkm[LPG],TableVerdeelsleutelVkm[Voertuigtype],"Lichte voertuigen")*SUMIFS(TableECFTransport[EnergieConsumptieFactor (PJ per km)],TableECFTransport[Index],CONCATENATE($A8,"_LPG_LPG"))</f>
        <v>1.1391984672850989E-4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2.744843104933881E-2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9.9520989651045062E-3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1.8972353822309033E-3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5.9954302461608083E-3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1.7202311790240693E-6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3.5034955911517166E-4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5.0816111986988607E-5</v>
      </c>
      <c r="C10" s="449"/>
      <c r="D10" s="451">
        <f>vkm_2011_SW_PW*SUMIFS(TableVerdeelsleutelVkm[CNG],TableVerdeelsleutelVkm[Voertuigtype],"Lichte voertuigen")*SUMIFS(TableECFTransport[EnergieConsumptieFactor (PJ per km)],TableECFTransport[Index],CONCATENATE($A10,"_CNG_CNG"))</f>
        <v>1.5943698708658326E-4</v>
      </c>
      <c r="E10" s="451">
        <f>vkm_2011_SW_PW*SUMIFS(TableVerdeelsleutelVkm[LPG],TableVerdeelsleutelVkm[Voertuigtype],"Lichte voertuigen")*SUMIFS(TableECFTransport[EnergieConsumptieFactor (PJ per km)],TableECFTransport[Index],CONCATENATE($A10,"_LPG_LPG"))</f>
        <v>2.7126042602088963E-4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6.2526142791907838E-2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1.8890144029670639E-2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4.2103270667049721E-3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0.12508923583837325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4.1170436836691156E-5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7.3098827356089698E-3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31.680414377412127</v>
      </c>
      <c r="C14" s="21"/>
      <c r="D14" s="21">
        <f t="shared" ref="D14:M14" si="0">((D5)*10^9/3600)+D12</f>
        <v>107.91674603394472</v>
      </c>
      <c r="E14" s="21">
        <f t="shared" si="0"/>
        <v>159.75142309141398</v>
      </c>
      <c r="F14" s="21"/>
      <c r="G14" s="21">
        <f t="shared" si="0"/>
        <v>79553.421300952352</v>
      </c>
      <c r="H14" s="21">
        <f t="shared" si="0"/>
        <v>12417.305898171851</v>
      </c>
      <c r="I14" s="21"/>
      <c r="J14" s="21"/>
      <c r="K14" s="21"/>
      <c r="L14" s="21"/>
      <c r="M14" s="21">
        <f t="shared" si="0"/>
        <v>5014.306097962909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6.1269424697729155E-2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1.9410407630897084</v>
      </c>
      <c r="C18" s="23"/>
      <c r="D18" s="23">
        <f t="shared" ref="D18:M18" si="1">D14*D16</f>
        <v>21.799182698856836</v>
      </c>
      <c r="E18" s="23">
        <f t="shared" si="1"/>
        <v>36.263573041750973</v>
      </c>
      <c r="F18" s="23"/>
      <c r="G18" s="23">
        <f t="shared" si="1"/>
        <v>21240.763487354277</v>
      </c>
      <c r="H18" s="23">
        <f t="shared" si="1"/>
        <v>3091.909168644791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2.5885227229910869E-3</v>
      </c>
      <c r="H50" s="321">
        <f t="shared" si="2"/>
        <v>0</v>
      </c>
      <c r="I50" s="321">
        <f t="shared" si="2"/>
        <v>0</v>
      </c>
      <c r="J50" s="321">
        <f t="shared" si="2"/>
        <v>0</v>
      </c>
      <c r="K50" s="321">
        <f t="shared" si="2"/>
        <v>0</v>
      </c>
      <c r="L50" s="321">
        <f t="shared" si="2"/>
        <v>0</v>
      </c>
      <c r="M50" s="321">
        <f t="shared" si="2"/>
        <v>1.4701666343460988E-4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2.5885227229910869E-3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1.4701666343460988E-4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719.03408971974636</v>
      </c>
      <c r="H54" s="21">
        <f t="shared" si="3"/>
        <v>0</v>
      </c>
      <c r="I54" s="21">
        <f t="shared" si="3"/>
        <v>0</v>
      </c>
      <c r="J54" s="21">
        <f t="shared" si="3"/>
        <v>0</v>
      </c>
      <c r="K54" s="21">
        <f t="shared" si="3"/>
        <v>0</v>
      </c>
      <c r="L54" s="21">
        <f t="shared" si="3"/>
        <v>0</v>
      </c>
      <c r="M54" s="21">
        <f t="shared" si="3"/>
        <v>40.837962065169414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6.1269424697729155E-2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191.98210195517228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44716.28980627963</v>
      </c>
      <c r="D10" s="1013">
        <f ca="1">tertiair!C16</f>
        <v>0</v>
      </c>
      <c r="E10" s="1013">
        <f ca="1">tertiair!D16</f>
        <v>13445.519095399881</v>
      </c>
      <c r="F10" s="1013">
        <f>tertiair!E16</f>
        <v>199.84417389085729</v>
      </c>
      <c r="G10" s="1013">
        <f ca="1">tertiair!F16</f>
        <v>10575.634352742889</v>
      </c>
      <c r="H10" s="1013">
        <f>tertiair!G16</f>
        <v>0</v>
      </c>
      <c r="I10" s="1013">
        <f>tertiair!H16</f>
        <v>0</v>
      </c>
      <c r="J10" s="1013">
        <f>tertiair!I16</f>
        <v>0</v>
      </c>
      <c r="K10" s="1013">
        <f>tertiair!J16</f>
        <v>0.75125872612327393</v>
      </c>
      <c r="L10" s="1013">
        <f>tertiair!K16</f>
        <v>0</v>
      </c>
      <c r="M10" s="1013">
        <f ca="1">tertiair!L16</f>
        <v>0</v>
      </c>
      <c r="N10" s="1013">
        <f>tertiair!M16</f>
        <v>0</v>
      </c>
      <c r="O10" s="1013">
        <f ca="1">tertiair!N16</f>
        <v>29404.584919657955</v>
      </c>
      <c r="P10" s="1013">
        <f>tertiair!O16</f>
        <v>7.8166666666666664</v>
      </c>
      <c r="Q10" s="1014">
        <f>tertiair!P16</f>
        <v>95.333333333333343</v>
      </c>
      <c r="R10" s="700">
        <f ca="1">SUM(C10:Q10)</f>
        <v>98445.77360669733</v>
      </c>
      <c r="S10" s="67"/>
    </row>
    <row r="11" spans="1:19" s="473" customFormat="1">
      <c r="A11" s="809" t="s">
        <v>225</v>
      </c>
      <c r="B11" s="814"/>
      <c r="C11" s="1013">
        <f>huishoudens!B8</f>
        <v>21493.100781419103</v>
      </c>
      <c r="D11" s="1013">
        <f>huishoudens!C8</f>
        <v>0</v>
      </c>
      <c r="E11" s="1013">
        <f>huishoudens!D8</f>
        <v>61201.36381053782</v>
      </c>
      <c r="F11" s="1013">
        <f>huishoudens!E8</f>
        <v>5030.4057717659261</v>
      </c>
      <c r="G11" s="1013">
        <f>huishoudens!F8</f>
        <v>6953.5937919052167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29231.609251275135</v>
      </c>
      <c r="P11" s="1013">
        <f>huishoudens!O8</f>
        <v>309.54000000000002</v>
      </c>
      <c r="Q11" s="1014">
        <f>huishoudens!P8</f>
        <v>1144</v>
      </c>
      <c r="R11" s="700">
        <f>SUM(C11:Q11)</f>
        <v>125363.61340690321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20023.05909839219</v>
      </c>
      <c r="D13" s="1013">
        <f>industrie!C18</f>
        <v>0</v>
      </c>
      <c r="E13" s="1013">
        <f>industrie!D18</f>
        <v>9109.5097412731902</v>
      </c>
      <c r="F13" s="1013">
        <f>industrie!E18</f>
        <v>2469.789998991364</v>
      </c>
      <c r="G13" s="1013">
        <f>industrie!F18</f>
        <v>7479.2068961200921</v>
      </c>
      <c r="H13" s="1013">
        <f>industrie!G18</f>
        <v>0</v>
      </c>
      <c r="I13" s="1013">
        <f>industrie!H18</f>
        <v>0</v>
      </c>
      <c r="J13" s="1013">
        <f>industrie!I18</f>
        <v>0</v>
      </c>
      <c r="K13" s="1013">
        <f>industrie!J18</f>
        <v>11.727080681911424</v>
      </c>
      <c r="L13" s="1013">
        <f>industrie!K18</f>
        <v>0</v>
      </c>
      <c r="M13" s="1013">
        <f>industrie!L18</f>
        <v>0</v>
      </c>
      <c r="N13" s="1013">
        <f>industrie!M18</f>
        <v>0</v>
      </c>
      <c r="O13" s="1013">
        <f>industrie!N18</f>
        <v>7490.331907951635</v>
      </c>
      <c r="P13" s="1013">
        <f>industrie!O18</f>
        <v>0</v>
      </c>
      <c r="Q13" s="1014">
        <f>industrie!P18</f>
        <v>0</v>
      </c>
      <c r="R13" s="700">
        <f>SUM(C13:Q13)</f>
        <v>46583.624723410387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86232.449686090913</v>
      </c>
      <c r="D16" s="732">
        <f t="shared" ref="D16:R16" ca="1" si="0">SUM(D9:D15)</f>
        <v>0</v>
      </c>
      <c r="E16" s="732">
        <f t="shared" ca="1" si="0"/>
        <v>83756.392647210887</v>
      </c>
      <c r="F16" s="732">
        <f t="shared" si="0"/>
        <v>7700.0399446481479</v>
      </c>
      <c r="G16" s="732">
        <f t="shared" ca="1" si="0"/>
        <v>25008.4350407682</v>
      </c>
      <c r="H16" s="732">
        <f t="shared" si="0"/>
        <v>0</v>
      </c>
      <c r="I16" s="732">
        <f t="shared" si="0"/>
        <v>0</v>
      </c>
      <c r="J16" s="732">
        <f t="shared" si="0"/>
        <v>0</v>
      </c>
      <c r="K16" s="732">
        <f t="shared" si="0"/>
        <v>12.478339408034698</v>
      </c>
      <c r="L16" s="732">
        <f t="shared" si="0"/>
        <v>0</v>
      </c>
      <c r="M16" s="732">
        <f t="shared" ca="1" si="0"/>
        <v>0</v>
      </c>
      <c r="N16" s="732">
        <f t="shared" si="0"/>
        <v>0</v>
      </c>
      <c r="O16" s="732">
        <f t="shared" ca="1" si="0"/>
        <v>66126.526078884723</v>
      </c>
      <c r="P16" s="732">
        <f t="shared" si="0"/>
        <v>317.35666666666668</v>
      </c>
      <c r="Q16" s="732">
        <f t="shared" si="0"/>
        <v>1239.3333333333333</v>
      </c>
      <c r="R16" s="732">
        <f t="shared" ca="1" si="0"/>
        <v>270393.01173701097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719.03408971974636</v>
      </c>
      <c r="I19" s="1013">
        <f>transport!H54</f>
        <v>0</v>
      </c>
      <c r="J19" s="1013">
        <f>transport!I54</f>
        <v>0</v>
      </c>
      <c r="K19" s="1013">
        <f>transport!J54</f>
        <v>0</v>
      </c>
      <c r="L19" s="1013">
        <f>transport!K54</f>
        <v>0</v>
      </c>
      <c r="M19" s="1013">
        <f>transport!L54</f>
        <v>0</v>
      </c>
      <c r="N19" s="1013">
        <f>transport!M54</f>
        <v>40.837962065169414</v>
      </c>
      <c r="O19" s="1013">
        <f>transport!N54</f>
        <v>0</v>
      </c>
      <c r="P19" s="1013">
        <f>transport!O54</f>
        <v>0</v>
      </c>
      <c r="Q19" s="1014">
        <f>transport!P54</f>
        <v>0</v>
      </c>
      <c r="R19" s="700">
        <f>SUM(C19:Q19)</f>
        <v>759.87205178491581</v>
      </c>
      <c r="S19" s="67"/>
    </row>
    <row r="20" spans="1:19" s="473" customFormat="1">
      <c r="A20" s="809" t="s">
        <v>307</v>
      </c>
      <c r="B20" s="814"/>
      <c r="C20" s="1013">
        <f>transport!B14</f>
        <v>31.680414377412127</v>
      </c>
      <c r="D20" s="1013">
        <f>transport!C14</f>
        <v>0</v>
      </c>
      <c r="E20" s="1013">
        <f>transport!D14</f>
        <v>107.91674603394472</v>
      </c>
      <c r="F20" s="1013">
        <f>transport!E14</f>
        <v>159.75142309141398</v>
      </c>
      <c r="G20" s="1013">
        <f>transport!F14</f>
        <v>0</v>
      </c>
      <c r="H20" s="1013">
        <f>transport!G14</f>
        <v>79553.421300952352</v>
      </c>
      <c r="I20" s="1013">
        <f>transport!H14</f>
        <v>12417.305898171851</v>
      </c>
      <c r="J20" s="1013">
        <f>transport!I14</f>
        <v>0</v>
      </c>
      <c r="K20" s="1013">
        <f>transport!J14</f>
        <v>0</v>
      </c>
      <c r="L20" s="1013">
        <f>transport!K14</f>
        <v>0</v>
      </c>
      <c r="M20" s="1013">
        <f>transport!L14</f>
        <v>0</v>
      </c>
      <c r="N20" s="1013">
        <f>transport!M14</f>
        <v>5014.306097962909</v>
      </c>
      <c r="O20" s="1013">
        <f>transport!N14</f>
        <v>0</v>
      </c>
      <c r="P20" s="1013">
        <f>transport!O14</f>
        <v>0</v>
      </c>
      <c r="Q20" s="1014">
        <f>transport!P14</f>
        <v>0</v>
      </c>
      <c r="R20" s="700">
        <f>SUM(C20:Q20)</f>
        <v>97284.381880589877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31.680414377412127</v>
      </c>
      <c r="D22" s="812">
        <f t="shared" ref="D22:R22" si="1">SUM(D18:D21)</f>
        <v>0</v>
      </c>
      <c r="E22" s="812">
        <f t="shared" si="1"/>
        <v>107.91674603394472</v>
      </c>
      <c r="F22" s="812">
        <f t="shared" si="1"/>
        <v>159.75142309141398</v>
      </c>
      <c r="G22" s="812">
        <f t="shared" si="1"/>
        <v>0</v>
      </c>
      <c r="H22" s="812">
        <f t="shared" si="1"/>
        <v>80272.455390672098</v>
      </c>
      <c r="I22" s="812">
        <f t="shared" si="1"/>
        <v>12417.305898171851</v>
      </c>
      <c r="J22" s="812">
        <f t="shared" si="1"/>
        <v>0</v>
      </c>
      <c r="K22" s="812">
        <f t="shared" si="1"/>
        <v>0</v>
      </c>
      <c r="L22" s="812">
        <f t="shared" si="1"/>
        <v>0</v>
      </c>
      <c r="M22" s="812">
        <f t="shared" si="1"/>
        <v>0</v>
      </c>
      <c r="N22" s="812">
        <f t="shared" si="1"/>
        <v>5055.1440600280785</v>
      </c>
      <c r="O22" s="812">
        <f t="shared" si="1"/>
        <v>0</v>
      </c>
      <c r="P22" s="812">
        <f t="shared" si="1"/>
        <v>0</v>
      </c>
      <c r="Q22" s="812">
        <f t="shared" si="1"/>
        <v>0</v>
      </c>
      <c r="R22" s="812">
        <f t="shared" si="1"/>
        <v>98044.253932374791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5189.2530470718693</v>
      </c>
      <c r="D24" s="1013">
        <f>+landbouw!C8</f>
        <v>43997.142857142855</v>
      </c>
      <c r="E24" s="1013">
        <f>+landbouw!D8</f>
        <v>1089.2075431293817</v>
      </c>
      <c r="F24" s="1013">
        <f>+landbouw!E8</f>
        <v>152.52799686165662</v>
      </c>
      <c r="G24" s="1013">
        <f>+landbouw!F8</f>
        <v>21618.147781584943</v>
      </c>
      <c r="H24" s="1013">
        <f>+landbouw!G8</f>
        <v>0</v>
      </c>
      <c r="I24" s="1013">
        <f>+landbouw!H8</f>
        <v>0</v>
      </c>
      <c r="J24" s="1013">
        <f>+landbouw!I8</f>
        <v>0</v>
      </c>
      <c r="K24" s="1013">
        <f>+landbouw!J8</f>
        <v>751.81132603588139</v>
      </c>
      <c r="L24" s="1013">
        <f>+landbouw!K8</f>
        <v>0</v>
      </c>
      <c r="M24" s="1013">
        <f>+landbouw!L8</f>
        <v>0</v>
      </c>
      <c r="N24" s="1013">
        <f>+landbouw!M8</f>
        <v>0</v>
      </c>
      <c r="O24" s="1013">
        <f>+landbouw!N8</f>
        <v>0</v>
      </c>
      <c r="P24" s="1013">
        <f>+landbouw!O8</f>
        <v>0</v>
      </c>
      <c r="Q24" s="1014">
        <f>+landbouw!P8</f>
        <v>0</v>
      </c>
      <c r="R24" s="700">
        <f>SUM(C24:Q24)</f>
        <v>72798.090551826594</v>
      </c>
      <c r="S24" s="67"/>
    </row>
    <row r="25" spans="1:19" s="473" customFormat="1" ht="15" thickBot="1">
      <c r="A25" s="831" t="s">
        <v>836</v>
      </c>
      <c r="B25" s="1016"/>
      <c r="C25" s="1017">
        <f>IF(Onbekend_ele_kWh="---",0,Onbekend_ele_kWh)/1000+IF(REST_rest_ele_kWh="---",0,REST_rest_ele_kWh)/1000</f>
        <v>1211.68393896462</v>
      </c>
      <c r="D25" s="1017"/>
      <c r="E25" s="1017">
        <f>IF(onbekend_gas_kWh="---",0,onbekend_gas_kWh)/1000+IF(REST_rest_gas_kWh="---",0,REST_rest_gas_kWh)/1000</f>
        <v>1474.1061230185901</v>
      </c>
      <c r="F25" s="1017"/>
      <c r="G25" s="1017"/>
      <c r="H25" s="1017"/>
      <c r="I25" s="1017"/>
      <c r="J25" s="1017"/>
      <c r="K25" s="1017"/>
      <c r="L25" s="1017"/>
      <c r="M25" s="1017"/>
      <c r="N25" s="1017"/>
      <c r="O25" s="1017"/>
      <c r="P25" s="1017"/>
      <c r="Q25" s="1018"/>
      <c r="R25" s="700">
        <f>SUM(C25:Q25)</f>
        <v>2685.7900619832099</v>
      </c>
      <c r="S25" s="67"/>
    </row>
    <row r="26" spans="1:19" s="473" customFormat="1" ht="15.75" thickBot="1">
      <c r="A26" s="705" t="s">
        <v>837</v>
      </c>
      <c r="B26" s="817"/>
      <c r="C26" s="812">
        <f>SUM(C24:C25)</f>
        <v>6400.9369860364895</v>
      </c>
      <c r="D26" s="812">
        <f t="shared" ref="D26:R26" si="2">SUM(D24:D25)</f>
        <v>43997.142857142855</v>
      </c>
      <c r="E26" s="812">
        <f t="shared" si="2"/>
        <v>2563.3136661479721</v>
      </c>
      <c r="F26" s="812">
        <f t="shared" si="2"/>
        <v>152.52799686165662</v>
      </c>
      <c r="G26" s="812">
        <f t="shared" si="2"/>
        <v>21618.147781584943</v>
      </c>
      <c r="H26" s="812">
        <f t="shared" si="2"/>
        <v>0</v>
      </c>
      <c r="I26" s="812">
        <f t="shared" si="2"/>
        <v>0</v>
      </c>
      <c r="J26" s="812">
        <f t="shared" si="2"/>
        <v>0</v>
      </c>
      <c r="K26" s="812">
        <f t="shared" si="2"/>
        <v>751.81132603588139</v>
      </c>
      <c r="L26" s="812">
        <f t="shared" si="2"/>
        <v>0</v>
      </c>
      <c r="M26" s="812">
        <f t="shared" si="2"/>
        <v>0</v>
      </c>
      <c r="N26" s="812">
        <f t="shared" si="2"/>
        <v>0</v>
      </c>
      <c r="O26" s="812">
        <f t="shared" si="2"/>
        <v>0</v>
      </c>
      <c r="P26" s="812">
        <f t="shared" si="2"/>
        <v>0</v>
      </c>
      <c r="Q26" s="812">
        <f t="shared" si="2"/>
        <v>0</v>
      </c>
      <c r="R26" s="812">
        <f t="shared" si="2"/>
        <v>75483.880613809801</v>
      </c>
      <c r="S26" s="67"/>
    </row>
    <row r="27" spans="1:19" s="473" customFormat="1" ht="17.25" thickTop="1" thickBot="1">
      <c r="A27" s="706" t="s">
        <v>116</v>
      </c>
      <c r="B27" s="805"/>
      <c r="C27" s="707">
        <f ca="1">C22+C16+C26</f>
        <v>92665.067086504801</v>
      </c>
      <c r="D27" s="707">
        <f t="shared" ref="D27:R27" ca="1" si="3">D22+D16+D26</f>
        <v>43997.142857142855</v>
      </c>
      <c r="E27" s="707">
        <f t="shared" ca="1" si="3"/>
        <v>86427.62305939279</v>
      </c>
      <c r="F27" s="707">
        <f t="shared" si="3"/>
        <v>8012.3193646012187</v>
      </c>
      <c r="G27" s="707">
        <f t="shared" ca="1" si="3"/>
        <v>46626.582822353143</v>
      </c>
      <c r="H27" s="707">
        <f t="shared" si="3"/>
        <v>80272.455390672098</v>
      </c>
      <c r="I27" s="707">
        <f t="shared" si="3"/>
        <v>12417.305898171851</v>
      </c>
      <c r="J27" s="707">
        <f t="shared" si="3"/>
        <v>0</v>
      </c>
      <c r="K27" s="707">
        <f t="shared" si="3"/>
        <v>764.28966544391608</v>
      </c>
      <c r="L27" s="707">
        <f t="shared" si="3"/>
        <v>0</v>
      </c>
      <c r="M27" s="707">
        <f t="shared" ca="1" si="3"/>
        <v>0</v>
      </c>
      <c r="N27" s="707">
        <f t="shared" si="3"/>
        <v>5055.1440600280785</v>
      </c>
      <c r="O27" s="707">
        <f t="shared" ca="1" si="3"/>
        <v>66126.526078884723</v>
      </c>
      <c r="P27" s="707">
        <f t="shared" si="3"/>
        <v>317.35666666666668</v>
      </c>
      <c r="Q27" s="707">
        <f t="shared" si="3"/>
        <v>1239.3333333333333</v>
      </c>
      <c r="R27" s="707">
        <f t="shared" ca="1" si="3"/>
        <v>443921.14628319559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2739.7413510476836</v>
      </c>
      <c r="D40" s="1013">
        <f ca="1">tertiair!C20</f>
        <v>0</v>
      </c>
      <c r="E40" s="1013">
        <f ca="1">tertiair!D20</f>
        <v>2715.9948572707763</v>
      </c>
      <c r="F40" s="1013">
        <f>tertiair!E20</f>
        <v>45.364627473224608</v>
      </c>
      <c r="G40" s="1013">
        <f ca="1">tertiair!F20</f>
        <v>2823.6943721823513</v>
      </c>
      <c r="H40" s="1013">
        <f>tertiair!G20</f>
        <v>0</v>
      </c>
      <c r="I40" s="1013">
        <f>tertiair!H20</f>
        <v>0</v>
      </c>
      <c r="J40" s="1013">
        <f>tertiair!I20</f>
        <v>0</v>
      </c>
      <c r="K40" s="1013">
        <f>tertiair!J20</f>
        <v>0.26594558904763899</v>
      </c>
      <c r="L40" s="1013">
        <f>tertiair!K20</f>
        <v>0</v>
      </c>
      <c r="M40" s="1013">
        <f ca="1">tertiair!L20</f>
        <v>0</v>
      </c>
      <c r="N40" s="1013">
        <f>tertiair!M20</f>
        <v>0</v>
      </c>
      <c r="O40" s="1013">
        <f ca="1">tertiair!N20</f>
        <v>0</v>
      </c>
      <c r="P40" s="1013">
        <f>tertiair!O20</f>
        <v>0</v>
      </c>
      <c r="Q40" s="774">
        <f>tertiair!P20</f>
        <v>0</v>
      </c>
      <c r="R40" s="850">
        <f t="shared" ca="1" si="4"/>
        <v>8325.0611535630833</v>
      </c>
    </row>
    <row r="41" spans="1:18">
      <c r="A41" s="822" t="s">
        <v>225</v>
      </c>
      <c r="B41" s="829"/>
      <c r="C41" s="1013">
        <f ca="1">huishoudens!B12</f>
        <v>1316.8699198478614</v>
      </c>
      <c r="D41" s="1013">
        <f ca="1">huishoudens!C12</f>
        <v>0</v>
      </c>
      <c r="E41" s="1013">
        <f>huishoudens!D12</f>
        <v>12362.675489728641</v>
      </c>
      <c r="F41" s="1013">
        <f>huishoudens!E12</f>
        <v>1141.9021101908652</v>
      </c>
      <c r="G41" s="1013">
        <f>huishoudens!F12</f>
        <v>1856.6095424386929</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16678.057062206059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1226.8013116471209</v>
      </c>
      <c r="D43" s="1013">
        <f ca="1">industrie!C22</f>
        <v>0</v>
      </c>
      <c r="E43" s="1013">
        <f>industrie!D22</f>
        <v>1840.1209677371846</v>
      </c>
      <c r="F43" s="1013">
        <f>industrie!E22</f>
        <v>560.64232977103961</v>
      </c>
      <c r="G43" s="1013">
        <f>industrie!F22</f>
        <v>1996.9482412640648</v>
      </c>
      <c r="H43" s="1013">
        <f>industrie!G22</f>
        <v>0</v>
      </c>
      <c r="I43" s="1013">
        <f>industrie!H22</f>
        <v>0</v>
      </c>
      <c r="J43" s="1013">
        <f>industrie!I22</f>
        <v>0</v>
      </c>
      <c r="K43" s="1013">
        <f>industrie!J22</f>
        <v>4.1513865613966443</v>
      </c>
      <c r="L43" s="1013">
        <f>industrie!K22</f>
        <v>0</v>
      </c>
      <c r="M43" s="1013">
        <f>industrie!L22</f>
        <v>0</v>
      </c>
      <c r="N43" s="1013">
        <f>industrie!M22</f>
        <v>0</v>
      </c>
      <c r="O43" s="1013">
        <f>industrie!N22</f>
        <v>0</v>
      </c>
      <c r="P43" s="1013">
        <f>industrie!O22</f>
        <v>0</v>
      </c>
      <c r="Q43" s="774">
        <f>industrie!P22</f>
        <v>0</v>
      </c>
      <c r="R43" s="849">
        <f t="shared" ca="1" si="4"/>
        <v>5628.6642369808069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5283.4125825426663</v>
      </c>
      <c r="D46" s="732">
        <f t="shared" ref="D46:Q46" ca="1" si="5">SUM(D39:D45)</f>
        <v>0</v>
      </c>
      <c r="E46" s="732">
        <f t="shared" ca="1" si="5"/>
        <v>16918.791314736602</v>
      </c>
      <c r="F46" s="732">
        <f t="shared" si="5"/>
        <v>1747.9090674351294</v>
      </c>
      <c r="G46" s="732">
        <f t="shared" ca="1" si="5"/>
        <v>6677.2521558851086</v>
      </c>
      <c r="H46" s="732">
        <f t="shared" si="5"/>
        <v>0</v>
      </c>
      <c r="I46" s="732">
        <f t="shared" si="5"/>
        <v>0</v>
      </c>
      <c r="J46" s="732">
        <f t="shared" si="5"/>
        <v>0</v>
      </c>
      <c r="K46" s="732">
        <f t="shared" si="5"/>
        <v>4.4173321504442828</v>
      </c>
      <c r="L46" s="732">
        <f t="shared" si="5"/>
        <v>0</v>
      </c>
      <c r="M46" s="732">
        <f t="shared" ca="1" si="5"/>
        <v>0</v>
      </c>
      <c r="N46" s="732">
        <f t="shared" si="5"/>
        <v>0</v>
      </c>
      <c r="O46" s="732">
        <f t="shared" ca="1" si="5"/>
        <v>0</v>
      </c>
      <c r="P46" s="732">
        <f t="shared" si="5"/>
        <v>0</v>
      </c>
      <c r="Q46" s="732">
        <f t="shared" si="5"/>
        <v>0</v>
      </c>
      <c r="R46" s="732">
        <f ca="1">SUM(R39:R45)</f>
        <v>30631.782452749951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191.98210195517228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191.98210195517228</v>
      </c>
    </row>
    <row r="50" spans="1:18">
      <c r="A50" s="825" t="s">
        <v>307</v>
      </c>
      <c r="B50" s="835"/>
      <c r="C50" s="703">
        <f ca="1">transport!B18</f>
        <v>1.9410407630897084</v>
      </c>
      <c r="D50" s="703">
        <f>transport!C18</f>
        <v>0</v>
      </c>
      <c r="E50" s="703">
        <f>transport!D18</f>
        <v>21.799182698856836</v>
      </c>
      <c r="F50" s="703">
        <f>transport!E18</f>
        <v>36.263573041750973</v>
      </c>
      <c r="G50" s="703">
        <f>transport!F18</f>
        <v>0</v>
      </c>
      <c r="H50" s="703">
        <f>transport!G18</f>
        <v>21240.763487354277</v>
      </c>
      <c r="I50" s="703">
        <f>transport!H18</f>
        <v>3091.909168644791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24392.676452502765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1.9410407630897084</v>
      </c>
      <c r="D52" s="732">
        <f t="shared" ref="D52:Q52" ca="1" si="6">SUM(D48:D51)</f>
        <v>0</v>
      </c>
      <c r="E52" s="732">
        <f t="shared" si="6"/>
        <v>21.799182698856836</v>
      </c>
      <c r="F52" s="732">
        <f t="shared" si="6"/>
        <v>36.263573041750973</v>
      </c>
      <c r="G52" s="732">
        <f t="shared" si="6"/>
        <v>0</v>
      </c>
      <c r="H52" s="732">
        <f t="shared" si="6"/>
        <v>21432.745589309448</v>
      </c>
      <c r="I52" s="732">
        <f t="shared" si="6"/>
        <v>3091.909168644791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24584.658554457936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317.94254880503149</v>
      </c>
      <c r="D54" s="703">
        <f ca="1">+landbouw!C12</f>
        <v>0</v>
      </c>
      <c r="E54" s="703">
        <f>+landbouw!D12</f>
        <v>220.01992371213512</v>
      </c>
      <c r="F54" s="703">
        <f>+landbouw!E12</f>
        <v>34.623855287596051</v>
      </c>
      <c r="G54" s="703">
        <f>+landbouw!F12</f>
        <v>5772.0454576831798</v>
      </c>
      <c r="H54" s="703">
        <f>+landbouw!G12</f>
        <v>0</v>
      </c>
      <c r="I54" s="703">
        <f>+landbouw!H12</f>
        <v>0</v>
      </c>
      <c r="J54" s="703">
        <f>+landbouw!I12</f>
        <v>0</v>
      </c>
      <c r="K54" s="703">
        <f>+landbouw!J12</f>
        <v>266.141209416702</v>
      </c>
      <c r="L54" s="703">
        <f>+landbouw!K12</f>
        <v>0</v>
      </c>
      <c r="M54" s="703">
        <f>+landbouw!L12</f>
        <v>0</v>
      </c>
      <c r="N54" s="703">
        <f>+landbouw!M12</f>
        <v>0</v>
      </c>
      <c r="O54" s="703">
        <f>+landbouw!N12</f>
        <v>0</v>
      </c>
      <c r="P54" s="703">
        <f>+landbouw!O12</f>
        <v>0</v>
      </c>
      <c r="Q54" s="704">
        <f>+landbouw!P12</f>
        <v>0</v>
      </c>
      <c r="R54" s="731">
        <f ca="1">SUM(C54:Q54)</f>
        <v>6610.7729949046443</v>
      </c>
    </row>
    <row r="55" spans="1:18" ht="15" thickBot="1">
      <c r="A55" s="825" t="s">
        <v>836</v>
      </c>
      <c r="B55" s="835"/>
      <c r="C55" s="703">
        <f ca="1">C25*'EF ele_warmte'!B12</f>
        <v>74.239177855840637</v>
      </c>
      <c r="D55" s="703"/>
      <c r="E55" s="703">
        <f>E25*EF_CO2_aardgas</f>
        <v>297.76943684975521</v>
      </c>
      <c r="F55" s="703"/>
      <c r="G55" s="703"/>
      <c r="H55" s="703"/>
      <c r="I55" s="703"/>
      <c r="J55" s="703"/>
      <c r="K55" s="703"/>
      <c r="L55" s="703"/>
      <c r="M55" s="703"/>
      <c r="N55" s="703"/>
      <c r="O55" s="703"/>
      <c r="P55" s="703"/>
      <c r="Q55" s="704"/>
      <c r="R55" s="731">
        <f ca="1">SUM(C55:Q55)</f>
        <v>372.00861470559585</v>
      </c>
    </row>
    <row r="56" spans="1:18" ht="15.75" thickBot="1">
      <c r="A56" s="823" t="s">
        <v>837</v>
      </c>
      <c r="B56" s="836"/>
      <c r="C56" s="732">
        <f ca="1">SUM(C54:C55)</f>
        <v>392.18172666087213</v>
      </c>
      <c r="D56" s="732">
        <f t="shared" ref="D56:Q56" ca="1" si="7">SUM(D54:D55)</f>
        <v>0</v>
      </c>
      <c r="E56" s="732">
        <f t="shared" si="7"/>
        <v>517.78936056189036</v>
      </c>
      <c r="F56" s="732">
        <f t="shared" si="7"/>
        <v>34.623855287596051</v>
      </c>
      <c r="G56" s="732">
        <f t="shared" si="7"/>
        <v>5772.0454576831798</v>
      </c>
      <c r="H56" s="732">
        <f t="shared" si="7"/>
        <v>0</v>
      </c>
      <c r="I56" s="732">
        <f t="shared" si="7"/>
        <v>0</v>
      </c>
      <c r="J56" s="732">
        <f t="shared" si="7"/>
        <v>0</v>
      </c>
      <c r="K56" s="732">
        <f t="shared" si="7"/>
        <v>266.141209416702</v>
      </c>
      <c r="L56" s="732">
        <f t="shared" si="7"/>
        <v>0</v>
      </c>
      <c r="M56" s="732">
        <f t="shared" si="7"/>
        <v>0</v>
      </c>
      <c r="N56" s="732">
        <f t="shared" si="7"/>
        <v>0</v>
      </c>
      <c r="O56" s="732">
        <f t="shared" si="7"/>
        <v>0</v>
      </c>
      <c r="P56" s="732">
        <f t="shared" si="7"/>
        <v>0</v>
      </c>
      <c r="Q56" s="733">
        <f t="shared" si="7"/>
        <v>0</v>
      </c>
      <c r="R56" s="734">
        <f ca="1">SUM(R54:R55)</f>
        <v>6982.7816096102397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5677.535349966628</v>
      </c>
      <c r="D61" s="740">
        <f t="shared" ref="D61:Q61" ca="1" si="8">D46+D52+D56</f>
        <v>0</v>
      </c>
      <c r="E61" s="740">
        <f t="shared" ca="1" si="8"/>
        <v>17458.379857997352</v>
      </c>
      <c r="F61" s="740">
        <f t="shared" si="8"/>
        <v>1818.7964957644765</v>
      </c>
      <c r="G61" s="740">
        <f t="shared" ca="1" si="8"/>
        <v>12449.297613568287</v>
      </c>
      <c r="H61" s="740">
        <f t="shared" si="8"/>
        <v>21432.745589309448</v>
      </c>
      <c r="I61" s="740">
        <f t="shared" si="8"/>
        <v>3091.909168644791</v>
      </c>
      <c r="J61" s="740">
        <f t="shared" si="8"/>
        <v>0</v>
      </c>
      <c r="K61" s="740">
        <f t="shared" si="8"/>
        <v>270.55854156714628</v>
      </c>
      <c r="L61" s="740">
        <f t="shared" si="8"/>
        <v>0</v>
      </c>
      <c r="M61" s="740">
        <f t="shared" ca="1" si="8"/>
        <v>0</v>
      </c>
      <c r="N61" s="740">
        <f t="shared" si="8"/>
        <v>0</v>
      </c>
      <c r="O61" s="740">
        <f t="shared" ca="1" si="8"/>
        <v>0</v>
      </c>
      <c r="P61" s="740">
        <f t="shared" si="8"/>
        <v>0</v>
      </c>
      <c r="Q61" s="740">
        <f t="shared" si="8"/>
        <v>0</v>
      </c>
      <c r="R61" s="740">
        <f ca="1">R46+R52+R56</f>
        <v>62199.22261681813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6.1269424697729176E-2</v>
      </c>
      <c r="D63" s="781">
        <f t="shared" ca="1" si="9"/>
        <v>0</v>
      </c>
      <c r="E63" s="1024">
        <f t="shared" ca="1" si="9"/>
        <v>0.2020000000000001</v>
      </c>
      <c r="F63" s="781">
        <f t="shared" si="9"/>
        <v>0.22699999999999998</v>
      </c>
      <c r="G63" s="781">
        <f t="shared" ca="1" si="9"/>
        <v>0.26699999999999996</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27731.414816599579</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8445.4470664363216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30798</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36232.941176470587</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66974.861883035905</v>
      </c>
      <c r="C78" s="755">
        <f>SUM(C72:C77)</f>
        <v>0</v>
      </c>
      <c r="D78" s="756">
        <f t="shared" ref="D78:H78" si="10">SUM(D76:D77)</f>
        <v>0</v>
      </c>
      <c r="E78" s="756">
        <f t="shared" si="10"/>
        <v>0</v>
      </c>
      <c r="F78" s="756">
        <f t="shared" si="10"/>
        <v>0</v>
      </c>
      <c r="G78" s="756">
        <f t="shared" si="10"/>
        <v>0</v>
      </c>
      <c r="H78" s="756">
        <f t="shared" si="10"/>
        <v>0</v>
      </c>
      <c r="I78" s="756">
        <f>SUM(I76:I77)</f>
        <v>0</v>
      </c>
      <c r="J78" s="756">
        <f>SUM(J76:J77)</f>
        <v>36232.941176470587</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43997.142857142855</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51761.344537815123</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43997.142857142855</v>
      </c>
      <c r="C90" s="755">
        <f>SUM(C87:C89)</f>
        <v>0</v>
      </c>
      <c r="D90" s="755">
        <f t="shared" ref="D90:H90" si="12">SUM(D87:D89)</f>
        <v>0</v>
      </c>
      <c r="E90" s="755">
        <f t="shared" si="12"/>
        <v>0</v>
      </c>
      <c r="F90" s="755">
        <f t="shared" si="12"/>
        <v>0</v>
      </c>
      <c r="G90" s="755">
        <f t="shared" si="12"/>
        <v>0</v>
      </c>
      <c r="H90" s="755">
        <f t="shared" si="12"/>
        <v>0</v>
      </c>
      <c r="I90" s="755">
        <f>SUM(I87:I89)</f>
        <v>0</v>
      </c>
      <c r="J90" s="755">
        <f>SUM(J87:J89)</f>
        <v>51761.344537815123</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27731.414816599579</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8445.4470664363216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30798</v>
      </c>
      <c r="C8" s="570">
        <f>B101</f>
        <v>0</v>
      </c>
      <c r="D8" s="1044"/>
      <c r="E8" s="1044">
        <f>E101</f>
        <v>0</v>
      </c>
      <c r="F8" s="1045"/>
      <c r="G8" s="571"/>
      <c r="H8" s="1044">
        <f>I101</f>
        <v>0</v>
      </c>
      <c r="I8" s="1044">
        <f>G101+F101</f>
        <v>0</v>
      </c>
      <c r="J8" s="1044">
        <f>H101+D101+C101</f>
        <v>36232.941176470587</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66974.861883035905</v>
      </c>
      <c r="C10" s="583">
        <f t="shared" ref="C10:L10" si="0">SUM(C8:C9)</f>
        <v>0</v>
      </c>
      <c r="D10" s="583">
        <f t="shared" si="0"/>
        <v>0</v>
      </c>
      <c r="E10" s="583">
        <f t="shared" si="0"/>
        <v>0</v>
      </c>
      <c r="F10" s="583">
        <f t="shared" si="0"/>
        <v>0</v>
      </c>
      <c r="G10" s="583">
        <f t="shared" si="0"/>
        <v>0</v>
      </c>
      <c r="H10" s="583">
        <f t="shared" si="0"/>
        <v>0</v>
      </c>
      <c r="I10" s="583">
        <f t="shared" si="0"/>
        <v>0</v>
      </c>
      <c r="J10" s="583">
        <f t="shared" si="0"/>
        <v>36232.941176470587</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43997.142857142855</v>
      </c>
      <c r="C17" s="595">
        <f>B102</f>
        <v>0</v>
      </c>
      <c r="D17" s="596"/>
      <c r="E17" s="596">
        <f>E102</f>
        <v>0</v>
      </c>
      <c r="F17" s="1050"/>
      <c r="G17" s="597"/>
      <c r="H17" s="595">
        <f>I102</f>
        <v>0</v>
      </c>
      <c r="I17" s="596">
        <f>G102+F102</f>
        <v>0</v>
      </c>
      <c r="J17" s="596">
        <f>H102+D102+C102</f>
        <v>51761.344537815123</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43997.142857142855</v>
      </c>
      <c r="C20" s="582">
        <f>SUM(C17:C19)</f>
        <v>0</v>
      </c>
      <c r="D20" s="582">
        <f t="shared" ref="D20:L20" si="1">SUM(D17:D19)</f>
        <v>0</v>
      </c>
      <c r="E20" s="582">
        <f t="shared" si="1"/>
        <v>0</v>
      </c>
      <c r="F20" s="582">
        <f t="shared" si="1"/>
        <v>0</v>
      </c>
      <c r="G20" s="582">
        <f t="shared" si="1"/>
        <v>0</v>
      </c>
      <c r="H20" s="582">
        <f t="shared" si="1"/>
        <v>0</v>
      </c>
      <c r="I20" s="582">
        <f t="shared" si="1"/>
        <v>0</v>
      </c>
      <c r="J20" s="582">
        <f t="shared" si="1"/>
        <v>51761.344537815123</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13001</v>
      </c>
      <c r="C28" s="796">
        <v>2370</v>
      </c>
      <c r="D28" s="653" t="s">
        <v>881</v>
      </c>
      <c r="E28" s="652" t="s">
        <v>882</v>
      </c>
      <c r="F28" s="652" t="s">
        <v>883</v>
      </c>
      <c r="G28" s="652" t="s">
        <v>884</v>
      </c>
      <c r="H28" s="652" t="s">
        <v>885</v>
      </c>
      <c r="I28" s="652" t="s">
        <v>882</v>
      </c>
      <c r="J28" s="795">
        <v>40813</v>
      </c>
      <c r="K28" s="795">
        <v>40150</v>
      </c>
      <c r="L28" s="652" t="s">
        <v>886</v>
      </c>
      <c r="M28" s="652">
        <v>3277</v>
      </c>
      <c r="N28" s="652">
        <v>14746.5</v>
      </c>
      <c r="O28" s="652">
        <v>21066.428571428572</v>
      </c>
      <c r="P28" s="652">
        <v>0</v>
      </c>
      <c r="Q28" s="652">
        <v>42132.857142857145</v>
      </c>
      <c r="R28" s="652">
        <v>0</v>
      </c>
      <c r="S28" s="652">
        <v>0</v>
      </c>
      <c r="T28" s="652">
        <v>0</v>
      </c>
      <c r="U28" s="652">
        <v>0</v>
      </c>
      <c r="V28" s="652">
        <v>0</v>
      </c>
      <c r="W28" s="652">
        <v>0</v>
      </c>
      <c r="X28" s="652">
        <v>10</v>
      </c>
      <c r="Y28" s="652" t="s">
        <v>112</v>
      </c>
      <c r="Z28" s="654" t="s">
        <v>112</v>
      </c>
    </row>
    <row r="29" spans="1:26" s="606" customFormat="1" ht="25.5">
      <c r="A29" s="605"/>
      <c r="B29" s="796">
        <v>13001</v>
      </c>
      <c r="C29" s="796">
        <v>2370</v>
      </c>
      <c r="D29" s="653" t="s">
        <v>887</v>
      </c>
      <c r="E29" s="652" t="s">
        <v>888</v>
      </c>
      <c r="F29" s="652" t="s">
        <v>889</v>
      </c>
      <c r="G29" s="652" t="s">
        <v>884</v>
      </c>
      <c r="H29" s="652" t="s">
        <v>885</v>
      </c>
      <c r="I29" s="652" t="s">
        <v>888</v>
      </c>
      <c r="J29" s="795">
        <v>41313</v>
      </c>
      <c r="K29" s="795">
        <v>41313</v>
      </c>
      <c r="L29" s="652" t="s">
        <v>886</v>
      </c>
      <c r="M29" s="652">
        <v>3567</v>
      </c>
      <c r="N29" s="652">
        <v>16051.5</v>
      </c>
      <c r="O29" s="652">
        <v>22930.714285714286</v>
      </c>
      <c r="P29" s="652">
        <v>0</v>
      </c>
      <c r="Q29" s="652">
        <v>45861.428571428572</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6844</v>
      </c>
      <c r="N58" s="610">
        <f>SUM(N28:N57)</f>
        <v>30798</v>
      </c>
      <c r="O58" s="610">
        <f t="shared" ref="O58:W58" si="2">SUM(O28:O57)</f>
        <v>43997.142857142855</v>
      </c>
      <c r="P58" s="610">
        <f t="shared" si="2"/>
        <v>0</v>
      </c>
      <c r="Q58" s="610">
        <f t="shared" si="2"/>
        <v>87994.28571428571</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6844</v>
      </c>
      <c r="N61" s="615">
        <f t="shared" si="4"/>
        <v>30798</v>
      </c>
      <c r="O61" s="615">
        <f t="shared" si="4"/>
        <v>43997.142857142855</v>
      </c>
      <c r="P61" s="615">
        <f t="shared" si="4"/>
        <v>0</v>
      </c>
      <c r="Q61" s="615">
        <f t="shared" si="4"/>
        <v>87994.28571428571</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36232.941176470587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51761.344537815123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21493.100781419103</v>
      </c>
      <c r="C4" s="477">
        <f>huishoudens!C8</f>
        <v>0</v>
      </c>
      <c r="D4" s="477">
        <f>huishoudens!D8</f>
        <v>61201.36381053782</v>
      </c>
      <c r="E4" s="477">
        <f>huishoudens!E8</f>
        <v>5030.4057717659261</v>
      </c>
      <c r="F4" s="477">
        <f>huishoudens!F8</f>
        <v>6953.5937919052167</v>
      </c>
      <c r="G4" s="477">
        <f>huishoudens!G8</f>
        <v>0</v>
      </c>
      <c r="H4" s="477">
        <f>huishoudens!H8</f>
        <v>0</v>
      </c>
      <c r="I4" s="477">
        <f>huishoudens!I8</f>
        <v>0</v>
      </c>
      <c r="J4" s="477">
        <f>huishoudens!J8</f>
        <v>0</v>
      </c>
      <c r="K4" s="477">
        <f>huishoudens!K8</f>
        <v>0</v>
      </c>
      <c r="L4" s="477">
        <f>huishoudens!L8</f>
        <v>0</v>
      </c>
      <c r="M4" s="477">
        <f>huishoudens!M8</f>
        <v>0</v>
      </c>
      <c r="N4" s="477">
        <f>huishoudens!N8</f>
        <v>29231.609251275135</v>
      </c>
      <c r="O4" s="477">
        <f>huishoudens!O8</f>
        <v>309.54000000000002</v>
      </c>
      <c r="P4" s="478">
        <f>huishoudens!P8</f>
        <v>1144</v>
      </c>
      <c r="Q4" s="479">
        <f>SUM(B4:P4)</f>
        <v>125363.61340690321</v>
      </c>
    </row>
    <row r="5" spans="1:17">
      <c r="A5" s="476" t="s">
        <v>156</v>
      </c>
      <c r="B5" s="477">
        <f ca="1">tertiair!B16</f>
        <v>43867.48480627963</v>
      </c>
      <c r="C5" s="477">
        <f ca="1">tertiair!C16</f>
        <v>0</v>
      </c>
      <c r="D5" s="477">
        <f ca="1">tertiair!D16</f>
        <v>13445.519095399881</v>
      </c>
      <c r="E5" s="477">
        <f>tertiair!E16</f>
        <v>199.84417389085729</v>
      </c>
      <c r="F5" s="477">
        <f ca="1">tertiair!F16</f>
        <v>10575.634352742889</v>
      </c>
      <c r="G5" s="477">
        <f>tertiair!G16</f>
        <v>0</v>
      </c>
      <c r="H5" s="477">
        <f>tertiair!H16</f>
        <v>0</v>
      </c>
      <c r="I5" s="477">
        <f>tertiair!I16</f>
        <v>0</v>
      </c>
      <c r="J5" s="477">
        <f>tertiair!J16</f>
        <v>0.75125872612327393</v>
      </c>
      <c r="K5" s="477">
        <f>tertiair!K16</f>
        <v>0</v>
      </c>
      <c r="L5" s="477">
        <f ca="1">tertiair!L16</f>
        <v>0</v>
      </c>
      <c r="M5" s="477">
        <f>tertiair!M16</f>
        <v>0</v>
      </c>
      <c r="N5" s="477">
        <f ca="1">tertiair!N16</f>
        <v>29404.584919657955</v>
      </c>
      <c r="O5" s="477">
        <f>tertiair!O16</f>
        <v>7.8166666666666664</v>
      </c>
      <c r="P5" s="478">
        <f>tertiair!P16</f>
        <v>95.333333333333343</v>
      </c>
      <c r="Q5" s="476">
        <f t="shared" ref="Q5:Q14" ca="1" si="0">SUM(B5:P5)</f>
        <v>97596.968606697337</v>
      </c>
    </row>
    <row r="6" spans="1:17">
      <c r="A6" s="476" t="s">
        <v>194</v>
      </c>
      <c r="B6" s="477">
        <f>'openbare verlichting'!B8</f>
        <v>848.80499999999995</v>
      </c>
      <c r="C6" s="477"/>
      <c r="D6" s="477"/>
      <c r="E6" s="477"/>
      <c r="F6" s="477"/>
      <c r="G6" s="477"/>
      <c r="H6" s="477"/>
      <c r="I6" s="477"/>
      <c r="J6" s="477"/>
      <c r="K6" s="477"/>
      <c r="L6" s="477"/>
      <c r="M6" s="477"/>
      <c r="N6" s="477"/>
      <c r="O6" s="477"/>
      <c r="P6" s="478"/>
      <c r="Q6" s="476">
        <f t="shared" si="0"/>
        <v>848.80499999999995</v>
      </c>
    </row>
    <row r="7" spans="1:17">
      <c r="A7" s="476" t="s">
        <v>112</v>
      </c>
      <c r="B7" s="477">
        <f>landbouw!B8</f>
        <v>5189.2530470718693</v>
      </c>
      <c r="C7" s="477">
        <f>landbouw!C8</f>
        <v>43997.142857142855</v>
      </c>
      <c r="D7" s="477">
        <f>landbouw!D8</f>
        <v>1089.2075431293817</v>
      </c>
      <c r="E7" s="477">
        <f>landbouw!E8</f>
        <v>152.52799686165662</v>
      </c>
      <c r="F7" s="477">
        <f>landbouw!F8</f>
        <v>21618.147781584943</v>
      </c>
      <c r="G7" s="477">
        <f>landbouw!G8</f>
        <v>0</v>
      </c>
      <c r="H7" s="477">
        <f>landbouw!H8</f>
        <v>0</v>
      </c>
      <c r="I7" s="477">
        <f>landbouw!I8</f>
        <v>0</v>
      </c>
      <c r="J7" s="477">
        <f>landbouw!J8</f>
        <v>751.81132603588139</v>
      </c>
      <c r="K7" s="477">
        <f>landbouw!K8</f>
        <v>0</v>
      </c>
      <c r="L7" s="477">
        <f>landbouw!L8</f>
        <v>0</v>
      </c>
      <c r="M7" s="477">
        <f>landbouw!M8</f>
        <v>0</v>
      </c>
      <c r="N7" s="477">
        <f>landbouw!N8</f>
        <v>0</v>
      </c>
      <c r="O7" s="477">
        <f>landbouw!O8</f>
        <v>0</v>
      </c>
      <c r="P7" s="478">
        <f>landbouw!P8</f>
        <v>0</v>
      </c>
      <c r="Q7" s="476">
        <f t="shared" si="0"/>
        <v>72798.090551826594</v>
      </c>
    </row>
    <row r="8" spans="1:17">
      <c r="A8" s="476" t="s">
        <v>635</v>
      </c>
      <c r="B8" s="477">
        <f>industrie!B18</f>
        <v>20023.05909839219</v>
      </c>
      <c r="C8" s="477">
        <f>industrie!C18</f>
        <v>0</v>
      </c>
      <c r="D8" s="477">
        <f>industrie!D18</f>
        <v>9109.5097412731902</v>
      </c>
      <c r="E8" s="477">
        <f>industrie!E18</f>
        <v>2469.789998991364</v>
      </c>
      <c r="F8" s="477">
        <f>industrie!F18</f>
        <v>7479.2068961200921</v>
      </c>
      <c r="G8" s="477">
        <f>industrie!G18</f>
        <v>0</v>
      </c>
      <c r="H8" s="477">
        <f>industrie!H18</f>
        <v>0</v>
      </c>
      <c r="I8" s="477">
        <f>industrie!I18</f>
        <v>0</v>
      </c>
      <c r="J8" s="477">
        <f>industrie!J18</f>
        <v>11.727080681911424</v>
      </c>
      <c r="K8" s="477">
        <f>industrie!K18</f>
        <v>0</v>
      </c>
      <c r="L8" s="477">
        <f>industrie!L18</f>
        <v>0</v>
      </c>
      <c r="M8" s="477">
        <f>industrie!M18</f>
        <v>0</v>
      </c>
      <c r="N8" s="477">
        <f>industrie!N18</f>
        <v>7490.331907951635</v>
      </c>
      <c r="O8" s="477">
        <f>industrie!O18</f>
        <v>0</v>
      </c>
      <c r="P8" s="478">
        <f>industrie!P18</f>
        <v>0</v>
      </c>
      <c r="Q8" s="476">
        <f t="shared" si="0"/>
        <v>46583.624723410387</v>
      </c>
    </row>
    <row r="9" spans="1:17" s="482" customFormat="1">
      <c r="A9" s="480" t="s">
        <v>561</v>
      </c>
      <c r="B9" s="481">
        <f>transport!B14</f>
        <v>31.680414377412127</v>
      </c>
      <c r="C9" s="481">
        <f>transport!C14</f>
        <v>0</v>
      </c>
      <c r="D9" s="481">
        <f>transport!D14</f>
        <v>107.91674603394472</v>
      </c>
      <c r="E9" s="481">
        <f>transport!E14</f>
        <v>159.75142309141398</v>
      </c>
      <c r="F9" s="481">
        <f>transport!F14</f>
        <v>0</v>
      </c>
      <c r="G9" s="481">
        <f>transport!G14</f>
        <v>79553.421300952352</v>
      </c>
      <c r="H9" s="481">
        <f>transport!H14</f>
        <v>12417.305898171851</v>
      </c>
      <c r="I9" s="481">
        <f>transport!I14</f>
        <v>0</v>
      </c>
      <c r="J9" s="481">
        <f>transport!J14</f>
        <v>0</v>
      </c>
      <c r="K9" s="481">
        <f>transport!K14</f>
        <v>0</v>
      </c>
      <c r="L9" s="481">
        <f>transport!L14</f>
        <v>0</v>
      </c>
      <c r="M9" s="481">
        <f>transport!M14</f>
        <v>5014.306097962909</v>
      </c>
      <c r="N9" s="481">
        <f>transport!N14</f>
        <v>0</v>
      </c>
      <c r="O9" s="481">
        <f>transport!O14</f>
        <v>0</v>
      </c>
      <c r="P9" s="481">
        <f>transport!P14</f>
        <v>0</v>
      </c>
      <c r="Q9" s="480">
        <f>SUM(B9:P9)</f>
        <v>97284.381880589877</v>
      </c>
    </row>
    <row r="10" spans="1:17">
      <c r="A10" s="476" t="s">
        <v>551</v>
      </c>
      <c r="B10" s="477">
        <f>transport!B54</f>
        <v>0</v>
      </c>
      <c r="C10" s="477">
        <f>transport!C54</f>
        <v>0</v>
      </c>
      <c r="D10" s="477">
        <f>transport!D54</f>
        <v>0</v>
      </c>
      <c r="E10" s="477">
        <f>transport!E54</f>
        <v>0</v>
      </c>
      <c r="F10" s="477">
        <f>transport!F54</f>
        <v>0</v>
      </c>
      <c r="G10" s="477">
        <f>transport!G54</f>
        <v>719.03408971974636</v>
      </c>
      <c r="H10" s="477">
        <f>transport!H54</f>
        <v>0</v>
      </c>
      <c r="I10" s="477">
        <f>transport!I54</f>
        <v>0</v>
      </c>
      <c r="J10" s="477">
        <f>transport!J54</f>
        <v>0</v>
      </c>
      <c r="K10" s="477">
        <f>transport!K54</f>
        <v>0</v>
      </c>
      <c r="L10" s="477">
        <f>transport!L54</f>
        <v>0</v>
      </c>
      <c r="M10" s="477">
        <f>transport!M54</f>
        <v>40.837962065169414</v>
      </c>
      <c r="N10" s="477">
        <f>transport!N54</f>
        <v>0</v>
      </c>
      <c r="O10" s="477">
        <f>transport!O54</f>
        <v>0</v>
      </c>
      <c r="P10" s="478">
        <f>transport!P54</f>
        <v>0</v>
      </c>
      <c r="Q10" s="476">
        <f t="shared" si="0"/>
        <v>759.87205178491581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1211.68393896462</v>
      </c>
      <c r="C14" s="484"/>
      <c r="D14" s="484">
        <f>'SEAP template'!E25</f>
        <v>1474.1061230185901</v>
      </c>
      <c r="E14" s="484"/>
      <c r="F14" s="484"/>
      <c r="G14" s="484"/>
      <c r="H14" s="484"/>
      <c r="I14" s="484"/>
      <c r="J14" s="484"/>
      <c r="K14" s="484"/>
      <c r="L14" s="484"/>
      <c r="M14" s="484"/>
      <c r="N14" s="484"/>
      <c r="O14" s="484"/>
      <c r="P14" s="485"/>
      <c r="Q14" s="476">
        <f t="shared" si="0"/>
        <v>2685.7900619832099</v>
      </c>
    </row>
    <row r="15" spans="1:17" s="486" customFormat="1">
      <c r="A15" s="1039" t="s">
        <v>555</v>
      </c>
      <c r="B15" s="987">
        <f ca="1">SUM(B4:B14)</f>
        <v>92665.067086504801</v>
      </c>
      <c r="C15" s="987">
        <f t="shared" ref="C15:Q15" ca="1" si="1">SUM(C4:C14)</f>
        <v>43997.142857142855</v>
      </c>
      <c r="D15" s="987">
        <f t="shared" ca="1" si="1"/>
        <v>86427.62305939279</v>
      </c>
      <c r="E15" s="987">
        <f t="shared" si="1"/>
        <v>8012.3193646012187</v>
      </c>
      <c r="F15" s="987">
        <f t="shared" ca="1" si="1"/>
        <v>46626.582822353143</v>
      </c>
      <c r="G15" s="987">
        <f t="shared" si="1"/>
        <v>80272.455390672098</v>
      </c>
      <c r="H15" s="987">
        <f t="shared" si="1"/>
        <v>12417.305898171851</v>
      </c>
      <c r="I15" s="987">
        <f t="shared" si="1"/>
        <v>0</v>
      </c>
      <c r="J15" s="987">
        <f t="shared" si="1"/>
        <v>764.28966544391608</v>
      </c>
      <c r="K15" s="987">
        <f t="shared" si="1"/>
        <v>0</v>
      </c>
      <c r="L15" s="987">
        <f t="shared" ca="1" si="1"/>
        <v>0</v>
      </c>
      <c r="M15" s="987">
        <f t="shared" si="1"/>
        <v>5055.1440600280785</v>
      </c>
      <c r="N15" s="987">
        <f t="shared" ca="1" si="1"/>
        <v>66126.526078884723</v>
      </c>
      <c r="O15" s="987">
        <f t="shared" si="1"/>
        <v>317.35666666666668</v>
      </c>
      <c r="P15" s="987">
        <f t="shared" si="1"/>
        <v>1239.3333333333333</v>
      </c>
      <c r="Q15" s="987">
        <f t="shared" ca="1" si="1"/>
        <v>443921.14628319559</v>
      </c>
    </row>
    <row r="17" spans="1:17">
      <c r="A17" s="487" t="s">
        <v>556</v>
      </c>
      <c r="B17" s="786">
        <f ca="1">huishoudens!B10</f>
        <v>6.1269424697729155E-2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1316.8699198478614</v>
      </c>
      <c r="C22" s="477">
        <f t="shared" ref="C22:C32" ca="1" si="3">C4*$C$17</f>
        <v>0</v>
      </c>
      <c r="D22" s="477">
        <f t="shared" ref="D22:D32" si="4">D4*$D$17</f>
        <v>12362.675489728641</v>
      </c>
      <c r="E22" s="477">
        <f t="shared" ref="E22:E32" si="5">E4*$E$17</f>
        <v>1141.9021101908652</v>
      </c>
      <c r="F22" s="477">
        <f t="shared" ref="F22:F32" si="6">F4*$F$17</f>
        <v>1856.6095424386929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16678.057062206059</v>
      </c>
    </row>
    <row r="23" spans="1:17">
      <c r="A23" s="476" t="s">
        <v>156</v>
      </c>
      <c r="B23" s="477">
        <f t="shared" ca="1" si="2"/>
        <v>2687.7355570171276</v>
      </c>
      <c r="C23" s="477">
        <f t="shared" ca="1" si="3"/>
        <v>0</v>
      </c>
      <c r="D23" s="477">
        <f t="shared" ca="1" si="4"/>
        <v>2715.9948572707763</v>
      </c>
      <c r="E23" s="477">
        <f t="shared" si="5"/>
        <v>45.364627473224608</v>
      </c>
      <c r="F23" s="477">
        <f t="shared" ca="1" si="6"/>
        <v>2823.6943721823513</v>
      </c>
      <c r="G23" s="477">
        <f t="shared" si="7"/>
        <v>0</v>
      </c>
      <c r="H23" s="477">
        <f t="shared" si="8"/>
        <v>0</v>
      </c>
      <c r="I23" s="477">
        <f t="shared" si="9"/>
        <v>0</v>
      </c>
      <c r="J23" s="477">
        <f t="shared" si="10"/>
        <v>0.26594558904763899</v>
      </c>
      <c r="K23" s="477">
        <f t="shared" si="11"/>
        <v>0</v>
      </c>
      <c r="L23" s="477">
        <f t="shared" ca="1" si="12"/>
        <v>0</v>
      </c>
      <c r="M23" s="477">
        <f t="shared" si="13"/>
        <v>0</v>
      </c>
      <c r="N23" s="477">
        <f t="shared" ca="1" si="14"/>
        <v>0</v>
      </c>
      <c r="O23" s="477">
        <f t="shared" si="15"/>
        <v>0</v>
      </c>
      <c r="P23" s="478">
        <f t="shared" si="16"/>
        <v>0</v>
      </c>
      <c r="Q23" s="476">
        <f t="shared" ref="Q23:Q32" ca="1" si="17">SUM(B23:P23)</f>
        <v>8273.0553595325273</v>
      </c>
    </row>
    <row r="24" spans="1:17">
      <c r="A24" s="476" t="s">
        <v>194</v>
      </c>
      <c r="B24" s="477">
        <f t="shared" ca="1" si="2"/>
        <v>52.00579403055599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52.00579403055599</v>
      </c>
    </row>
    <row r="25" spans="1:17">
      <c r="A25" s="476" t="s">
        <v>112</v>
      </c>
      <c r="B25" s="477">
        <f t="shared" ca="1" si="2"/>
        <v>317.94254880503149</v>
      </c>
      <c r="C25" s="477">
        <f t="shared" ca="1" si="3"/>
        <v>0</v>
      </c>
      <c r="D25" s="477">
        <f t="shared" si="4"/>
        <v>220.01992371213512</v>
      </c>
      <c r="E25" s="477">
        <f t="shared" si="5"/>
        <v>34.623855287596051</v>
      </c>
      <c r="F25" s="477">
        <f t="shared" si="6"/>
        <v>5772.0454576831798</v>
      </c>
      <c r="G25" s="477">
        <f t="shared" si="7"/>
        <v>0</v>
      </c>
      <c r="H25" s="477">
        <f t="shared" si="8"/>
        <v>0</v>
      </c>
      <c r="I25" s="477">
        <f t="shared" si="9"/>
        <v>0</v>
      </c>
      <c r="J25" s="477">
        <f t="shared" si="10"/>
        <v>266.141209416702</v>
      </c>
      <c r="K25" s="477">
        <f t="shared" si="11"/>
        <v>0</v>
      </c>
      <c r="L25" s="477">
        <f t="shared" si="12"/>
        <v>0</v>
      </c>
      <c r="M25" s="477">
        <f t="shared" si="13"/>
        <v>0</v>
      </c>
      <c r="N25" s="477">
        <f t="shared" si="14"/>
        <v>0</v>
      </c>
      <c r="O25" s="477">
        <f t="shared" si="15"/>
        <v>0</v>
      </c>
      <c r="P25" s="478">
        <f t="shared" si="16"/>
        <v>0</v>
      </c>
      <c r="Q25" s="476">
        <f t="shared" ca="1" si="17"/>
        <v>6610.7729949046443</v>
      </c>
    </row>
    <row r="26" spans="1:17">
      <c r="A26" s="476" t="s">
        <v>635</v>
      </c>
      <c r="B26" s="477">
        <f t="shared" ca="1" si="2"/>
        <v>1226.8013116471209</v>
      </c>
      <c r="C26" s="477">
        <f t="shared" ca="1" si="3"/>
        <v>0</v>
      </c>
      <c r="D26" s="477">
        <f t="shared" si="4"/>
        <v>1840.1209677371846</v>
      </c>
      <c r="E26" s="477">
        <f t="shared" si="5"/>
        <v>560.64232977103961</v>
      </c>
      <c r="F26" s="477">
        <f t="shared" si="6"/>
        <v>1996.9482412640648</v>
      </c>
      <c r="G26" s="477">
        <f t="shared" si="7"/>
        <v>0</v>
      </c>
      <c r="H26" s="477">
        <f t="shared" si="8"/>
        <v>0</v>
      </c>
      <c r="I26" s="477">
        <f t="shared" si="9"/>
        <v>0</v>
      </c>
      <c r="J26" s="477">
        <f t="shared" si="10"/>
        <v>4.1513865613966443</v>
      </c>
      <c r="K26" s="477">
        <f t="shared" si="11"/>
        <v>0</v>
      </c>
      <c r="L26" s="477">
        <f t="shared" si="12"/>
        <v>0</v>
      </c>
      <c r="M26" s="477">
        <f t="shared" si="13"/>
        <v>0</v>
      </c>
      <c r="N26" s="477">
        <f t="shared" si="14"/>
        <v>0</v>
      </c>
      <c r="O26" s="477">
        <f t="shared" si="15"/>
        <v>0</v>
      </c>
      <c r="P26" s="478">
        <f t="shared" si="16"/>
        <v>0</v>
      </c>
      <c r="Q26" s="476">
        <f t="shared" ca="1" si="17"/>
        <v>5628.6642369808069</v>
      </c>
    </row>
    <row r="27" spans="1:17" s="482" customFormat="1">
      <c r="A27" s="480" t="s">
        <v>561</v>
      </c>
      <c r="B27" s="780">
        <f t="shared" ca="1" si="2"/>
        <v>1.9410407630897084</v>
      </c>
      <c r="C27" s="481">
        <f t="shared" ca="1" si="3"/>
        <v>0</v>
      </c>
      <c r="D27" s="481">
        <f t="shared" si="4"/>
        <v>21.799182698856836</v>
      </c>
      <c r="E27" s="481">
        <f t="shared" si="5"/>
        <v>36.263573041750973</v>
      </c>
      <c r="F27" s="481">
        <f t="shared" si="6"/>
        <v>0</v>
      </c>
      <c r="G27" s="481">
        <f t="shared" si="7"/>
        <v>21240.763487354277</v>
      </c>
      <c r="H27" s="481">
        <f t="shared" si="8"/>
        <v>3091.909168644791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24392.676452502765</v>
      </c>
    </row>
    <row r="28" spans="1:17">
      <c r="A28" s="476" t="s">
        <v>551</v>
      </c>
      <c r="B28" s="477">
        <f t="shared" ca="1" si="2"/>
        <v>0</v>
      </c>
      <c r="C28" s="477">
        <f t="shared" ca="1" si="3"/>
        <v>0</v>
      </c>
      <c r="D28" s="477">
        <f t="shared" si="4"/>
        <v>0</v>
      </c>
      <c r="E28" s="477">
        <f t="shared" si="5"/>
        <v>0</v>
      </c>
      <c r="F28" s="477">
        <f t="shared" si="6"/>
        <v>0</v>
      </c>
      <c r="G28" s="477">
        <f t="shared" si="7"/>
        <v>191.98210195517228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191.98210195517228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74.239177855840637</v>
      </c>
      <c r="C32" s="477">
        <f t="shared" ca="1" si="3"/>
        <v>0</v>
      </c>
      <c r="D32" s="477">
        <f t="shared" si="4"/>
        <v>297.76943684975521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372.00861470559585</v>
      </c>
    </row>
    <row r="33" spans="1:17" s="486" customFormat="1">
      <c r="A33" s="1039" t="s">
        <v>555</v>
      </c>
      <c r="B33" s="987">
        <f ca="1">SUM(B22:B32)</f>
        <v>5677.535349966628</v>
      </c>
      <c r="C33" s="987">
        <f t="shared" ref="C33:Q33" ca="1" si="18">SUM(C22:C32)</f>
        <v>0</v>
      </c>
      <c r="D33" s="987">
        <f t="shared" ca="1" si="18"/>
        <v>17458.379857997352</v>
      </c>
      <c r="E33" s="987">
        <f t="shared" si="18"/>
        <v>1818.7964957644765</v>
      </c>
      <c r="F33" s="987">
        <f t="shared" ca="1" si="18"/>
        <v>12449.297613568287</v>
      </c>
      <c r="G33" s="987">
        <f t="shared" si="18"/>
        <v>21432.745589309448</v>
      </c>
      <c r="H33" s="987">
        <f t="shared" si="18"/>
        <v>3091.909168644791</v>
      </c>
      <c r="I33" s="987">
        <f t="shared" si="18"/>
        <v>0</v>
      </c>
      <c r="J33" s="987">
        <f t="shared" si="18"/>
        <v>270.55854156714628</v>
      </c>
      <c r="K33" s="987">
        <f t="shared" si="18"/>
        <v>0</v>
      </c>
      <c r="L33" s="987">
        <f t="shared" ca="1" si="18"/>
        <v>0</v>
      </c>
      <c r="M33" s="987">
        <f t="shared" si="18"/>
        <v>0</v>
      </c>
      <c r="N33" s="987">
        <f t="shared" ca="1" si="18"/>
        <v>0</v>
      </c>
      <c r="O33" s="987">
        <f t="shared" si="18"/>
        <v>0</v>
      </c>
      <c r="P33" s="987">
        <f t="shared" si="18"/>
        <v>0</v>
      </c>
      <c r="Q33" s="987">
        <f t="shared" ca="1" si="18"/>
        <v>62199.222616818137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27731.414816599579</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8445.4470664363216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30798</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36232.941176470587</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66974.861883035905</v>
      </c>
      <c r="C10" s="1060">
        <f>SUM(C4:C9)</f>
        <v>0</v>
      </c>
      <c r="D10" s="1060">
        <f t="shared" ref="D10:H10" si="0">SUM(D8:D9)</f>
        <v>0</v>
      </c>
      <c r="E10" s="1060">
        <f t="shared" si="0"/>
        <v>0</v>
      </c>
      <c r="F10" s="1060">
        <f t="shared" si="0"/>
        <v>0</v>
      </c>
      <c r="G10" s="1060">
        <f t="shared" si="0"/>
        <v>0</v>
      </c>
      <c r="H10" s="1060">
        <f t="shared" si="0"/>
        <v>0</v>
      </c>
      <c r="I10" s="1060">
        <f>SUM(I8:I9)</f>
        <v>0</v>
      </c>
      <c r="J10" s="1060">
        <f>SUM(J8:J9)</f>
        <v>36232.941176470587</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6.1269424697729155E-2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43997.142857142855</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51761.344537815123</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43997.142857142855</v>
      </c>
      <c r="C20" s="1060">
        <f>SUM(C17:C19)</f>
        <v>0</v>
      </c>
      <c r="D20" s="1060">
        <f t="shared" ref="D20:H20" si="2">SUM(D17:D19)</f>
        <v>0</v>
      </c>
      <c r="E20" s="1060">
        <f t="shared" si="2"/>
        <v>0</v>
      </c>
      <c r="F20" s="1060">
        <f t="shared" si="2"/>
        <v>0</v>
      </c>
      <c r="G20" s="1060">
        <f t="shared" si="2"/>
        <v>0</v>
      </c>
      <c r="H20" s="1060">
        <f t="shared" si="2"/>
        <v>0</v>
      </c>
      <c r="I20" s="1060">
        <f>SUM(I17:I19)</f>
        <v>0</v>
      </c>
      <c r="J20" s="1060">
        <f>SUM(J17:J19)</f>
        <v>51761.344537815123</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6.1269424697729155E-2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2019-08-12T08:31:41Z</dcterms:modified>
</cp:coreProperties>
</file>