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M22"/>
  <c r="L78"/>
  <c r="L8" i="61"/>
  <c r="L10" s="1"/>
  <c r="E90" i="14"/>
  <c r="E18" i="61"/>
  <c r="E20" s="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K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M76" i="14"/>
  <c r="H10" i="18"/>
  <c r="E20"/>
  <c r="F87" i="14"/>
  <c r="C77"/>
  <c r="C9" i="61" s="1"/>
  <c r="C20" i="18"/>
  <c r="D87" i="14"/>
  <c r="D17" i="61" s="1"/>
  <c r="D20" s="1"/>
  <c r="D76" i="14"/>
  <c r="D8" i="61" s="1"/>
  <c r="D10"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7"/>
  <c r="J28"/>
  <c r="Q11" i="14"/>
  <c r="P4" i="48"/>
  <c r="P11" i="14"/>
  <c r="O4" i="48"/>
  <c r="I25"/>
  <c r="I29"/>
  <c r="I31"/>
  <c r="I27"/>
  <c r="I24"/>
  <c r="I28"/>
  <c r="I30"/>
  <c r="I22"/>
  <c r="I32"/>
  <c r="I26"/>
  <c r="D4"/>
  <c r="D22" s="1"/>
  <c r="E11" i="14"/>
  <c r="H29" i="48"/>
  <c r="H32"/>
  <c r="H24"/>
  <c r="H22"/>
  <c r="H26"/>
  <c r="H28"/>
  <c r="H30"/>
  <c r="H25"/>
  <c r="H23"/>
  <c r="C4"/>
  <c r="D11" i="14"/>
  <c r="G23" i="48"/>
  <c r="G30"/>
  <c r="G32"/>
  <c r="G26"/>
  <c r="G29"/>
  <c r="G22"/>
  <c r="G24"/>
  <c r="G25"/>
  <c r="B4"/>
  <c r="C11" i="14"/>
  <c r="F30" i="48"/>
  <c r="F32"/>
  <c r="F24"/>
  <c r="F31"/>
  <c r="F27"/>
  <c r="F28"/>
  <c r="F29"/>
  <c r="N24"/>
  <c r="N31"/>
  <c r="N30"/>
  <c r="N32"/>
  <c r="N27"/>
  <c r="N28"/>
  <c r="N29"/>
  <c r="B10"/>
  <c r="C19" i="14"/>
  <c r="E31" i="48"/>
  <c r="E29"/>
  <c r="E30"/>
  <c r="E28"/>
  <c r="E32"/>
  <c r="E24"/>
  <c r="M29"/>
  <c r="M32"/>
  <c r="M25"/>
  <c r="M22"/>
  <c r="M26"/>
  <c r="M24"/>
  <c r="M30"/>
  <c r="M23"/>
  <c r="L10" i="14"/>
  <c r="L16" s="1"/>
  <c r="L27" s="1"/>
  <c r="K5" i="48"/>
  <c r="D30"/>
  <c r="D28"/>
  <c r="D24"/>
  <c r="D29"/>
  <c r="D31"/>
  <c r="D32"/>
  <c r="L29"/>
  <c r="L32"/>
  <c r="L22"/>
  <c r="L31"/>
  <c r="L30"/>
  <c r="L28"/>
  <c r="L27"/>
  <c r="L24"/>
  <c r="Q10" i="14"/>
  <c r="P5" i="48"/>
  <c r="P23" s="1"/>
  <c r="K32"/>
  <c r="K24"/>
  <c r="K22"/>
  <c r="K30"/>
  <c r="K27"/>
  <c r="K25"/>
  <c r="K31"/>
  <c r="K26"/>
  <c r="K28"/>
  <c r="K29"/>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<sst xmlns="http://schemas.openxmlformats.org/spreadsheetml/2006/main" count="2419" uniqueCount="898">
  <si>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</si>
  <si>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</si>
  <si>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</si>
  <si>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</si>
  <si>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</si>
  <si>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</si>
  <si>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</si>
  <si>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</si>
  <si>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</si>
  <si>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</si>
  <si>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</si>
  <si>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</si>
  <si>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</si>
  <si>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</si>
  <si>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</si>
  <si>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</si>
  <si>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</si>
  <si>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</si>
  <si>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</si>
  <si>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</si>
  <si>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</si>
  <si>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</si>
  <si>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</si>
  <si>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</si>
  <si>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</si>
  <si>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</si>
  <si>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</si>
  <si>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</si>
  <si>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</si>
  <si>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</si>
  <si>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</si>
  <si>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</si>
  <si>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</si>
  <si>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</si>
  <si>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</si>
  <si>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</si>
  <si>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</si>
  <si>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</si>
  <si>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</si>
  <si>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</si>
  <si>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</si>
  <si>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</si>
  <si>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</si>
  <si>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</si>
  <si>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</si>
  <si>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</si>
  <si>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</si>
  <si>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</si>
  <si>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</si>
  <si>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</si>
  <si>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</si>
  <si>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</si>
  <si>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</si>
  <si>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</si>
  <si>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</si>
  <si>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</si>
  <si>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</si>
  <si>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</si>
  <si>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</si>
  <si>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</si>
  <si>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</si>
  <si>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</si>
  <si>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</si>
  <si>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</si>
  <si>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</si>
  <si>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</si>
  <si>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</si>
  <si>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</si>
  <si>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</si>
  <si>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</si>
  <si>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</si>
  <si>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</si>
  <si>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</si>
  <si>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</si>
  <si>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</si>
  <si>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</si>
  <si>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</si>
  <si>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</si>
  <si>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</si>
  <si>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</si>
  <si>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</si>
  <si>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</si>
  <si>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</si>
  <si>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</si>
  <si>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</si>
  <si>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</si>
  <si>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</si>
  <si>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</si>
  <si>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</si>
  <si>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</si>
  <si>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</si>
  <si>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</si>
  <si>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</si>
  <si>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</si>
  <si>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</si>
  <si>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</si>
  <si>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</si>
  <si>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</si>
  <si>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</si>
  <si>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</si>
  <si>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</si>
  <si>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</si>
  <si>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</si>
  <si>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</si>
  <si>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</si>
  <si>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</si>
  <si>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</si>
  <si>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</si>
  <si>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</si>
  <si>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</si>
  <si>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</si>
  <si>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</si>
  <si>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</si>
  <si>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</si>
  <si>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</si>
  <si>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</si>
  <si>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</si>
  <si>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</si>
  <si>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</si>
  <si>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</si>
  <si>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</si>
  <si>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</si>
  <si>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</si>
  <si>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</si>
  <si>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</si>
  <si>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</si>
  <si>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</si>
  <si>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</si>
  <si>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</si>
  <si>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</si>
  <si>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</si>
  <si>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</si>
  <si>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</si>
  <si>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</si>
  <si>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</si>
  <si>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</si>
  <si>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</si>
  <si>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</si>
  <si>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</si>
  <si>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</si>
  <si>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</si>
  <si>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</si>
  <si>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</si>
  <si>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</si>
  <si>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</si>
  <si>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</si>
  <si>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</si>
  <si>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</si>
  <si>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</si>
  <si>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</si>
  <si>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</si>
  <si>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</si>
  <si>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</si>
  <si>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</si>
  <si>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</si>
  <si>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</si>
  <si>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</si>
  <si>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</si>
  <si>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</si>
  <si>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</si>
  <si>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</si>
  <si>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</si>
  <si>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</si>
  <si>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</si>
  <si>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</si>
  <si>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</si>
  <si>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</si>
  <si>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</si>
  <si>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</si>
  <si>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</si>
  <si>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</si>
  <si>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</si>
  <si>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</si>
  <si>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</si>
  <si>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</si>
  <si>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</si>
  <si>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</si>
  <si>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</si>
  <si>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</si>
  <si>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</si>
  <si>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</si>
  <si>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</si>
  <si>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</si>
  <si>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</si>
  <si>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</si>
  <si>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</si>
  <si>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</si>
  <si>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</si>
  <si>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</si>
  <si>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</si>
  <si>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</si>
  <si>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</si>
  <si>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</si>
  <si>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</si>
  <si>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</si>
  <si>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</si>
  <si>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</si>
  <si>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</si>
  <si>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</si>
  <si>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</si>
  <si>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</si>
  <si>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</si>
  <si>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</si>
  <si>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</si>
  <si>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</si>
  <si>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</si>
  <si>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</si>
  <si>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</si>
  <si>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</si>
  <si>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</si>
  <si>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</si>
  <si>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</si>
  <si>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</si>
  <si>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</si>
  <si>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</si>
  <si>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</si>
  <si>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</si>
  <si>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</si>
  <si>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</si>
  <si>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</si>
  <si>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</si>
  <si>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</si>
  <si>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</si>
  <si>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</si>
  <si>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</si>
  <si>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</si>
  <si>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</si>
  <si>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</si>
  <si>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</si>
  <si>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</si>
  <si>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</si>
  <si>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</si>
  <si>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</si>
  <si>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</si>
  <si>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</si>
  <si>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</si>
  <si>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</si>
  <si>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</si>
  <si>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</si>
  <si>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</si>
  <si>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</si>
  <si>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</si>
  <si>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</si>
  <si>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</si>
  <si>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</si>
  <si>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</si>
  <si>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</si>
  <si>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</si>
  <si>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</si>
  <si>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</si>
  <si>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</si>
  <si>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</si>
  <si>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</si>
  <si>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</si>
  <si>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</si>
  <si>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</si>
  <si>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</si>
  <si>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</si>
  <si>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</si>
  <si>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</si>
  <si>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</si>
  <si>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</si>
  <si>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</si>
  <si>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</si>
  <si>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</si>
  <si>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</si>
  <si>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</si>
  <si>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</si>
  <si>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</si>
  <si>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</si>
  <si>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</si>
  <si>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</si>
  <si>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</si>
  <si>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</si>
  <si>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</si>
  <si>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</si>
  <si>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</si>
  <si>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</si>
  <si>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</si>
  <si>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</si>
  <si>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</si>
  <si>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</si>
  <si>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</si>
  <si>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</si>
  <si>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</si>
  <si>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</si>
  <si>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</si>
  <si>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</si>
  <si>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</si>
  <si>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</si>
  <si>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</si>
  <si>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</si>
  <si>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</si>
  <si>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</si>
  <si>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</si>
  <si>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</si>
  <si>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</si>
  <si>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</si>
  <si>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</si>
  <si>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</si>
  <si>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</si>
  <si>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</si>
  <si>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</si>
  <si>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</si>
  <si>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</si>
  <si>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</si>
  <si>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</si>
  <si>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</si>
  <si>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</si>
  <si>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</si>
  <si>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</si>
  <si>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</si>
  <si>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</si>
  <si>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</si>
  <si>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</si>
  <si>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</si>
  <si>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</si>
  <si>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</si>
  <si>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</si>
  <si>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</si>
  <si>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</si>
  <si>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</si>
  <si>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</si>
  <si>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</si>
  <si>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</si>
  <si>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</si>
  <si>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</si>
  <si>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</si>
  <si>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</si>
  <si>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</si>
  <si>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</si>
  <si>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</si>
  <si>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</si>
  <si>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</si>
  <si>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</si>
  <si>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</si>
  <si>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</si>
  <si>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</si>
  <si>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</si>
  <si>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</si>
  <si>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</si>
  <si>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</si>
  <si>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</si>
  <si>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</si>
  <si>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</si>
  <si>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</si>
  <si>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</si>
  <si>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</si>
  <si>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</si>
  <si>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</si>
  <si>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</si>
  <si>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</si>
  <si>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</si>
  <si>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</si>
  <si>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</si>
  <si>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</si>
  <si>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</si>
  <si>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</si>
  <si>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</si>
  <si>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</si>
  <si>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</si>
  <si>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</si>
  <si>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</si>
  <si>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</si>
  <si>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</si>
  <si>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</si>
  <si>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</si>
  <si>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</si>
  <si>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</si>
  <si>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</si>
  <si>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</si>
  <si>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</si>
  <si>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</si>
  <si>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</si>
  <si>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</si>
  <si>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</si>
  <si>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</si>
  <si>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</si>
  <si>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</si>
  <si>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</si>
  <si>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</si>
  <si>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</si>
  <si>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</si>
  <si>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</si>
  <si>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</si>
  <si>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</si>
  <si>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</si>
  <si>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</si>
  <si>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</si>
  <si>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</si>
  <si>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</si>
  <si>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</si>
  <si>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</si>
  <si>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</si>
  <si>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</si>
  <si>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</si>
  <si>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</si>
  <si>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</si>
  <si>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</si>
  <si>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</si>
  <si>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</si>
  <si>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</si>
  <si>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</si>
  <si>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</si>
  <si>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</si>
  <si>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</si>
  <si>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</si>
  <si>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</si>
  <si>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</si>
  <si>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</si>
  <si>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</si>
  <si>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</si>
  <si>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</si>
  <si>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</si>
  <si>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</si>
  <si>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</si>
  <si>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</si>
  <si>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</si>
  <si>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</si>
  <si>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</si>
  <si>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</si>
  <si>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</si>
  <si>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</si>
  <si>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</si>
  <si>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</si>
  <si>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</si>
  <si>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</si>
  <si>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</si>
  <si>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</si>
  <si>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</si>
  <si>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</si>
  <si>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</si>
  <si>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</si>
  <si>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</si>
  <si>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</si>
  <si>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</si>
  <si>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</si>
  <si>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</si>
  <si>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</si>
  <si>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</si>
  <si>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</si>
  <si>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</si>
  <si>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</si>
  <si>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</si>
  <si>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</si>
  <si>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</si>
  <si>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</si>
  <si>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</si>
  <si>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</si>
  <si>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</si>
  <si>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</si>
  <si>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</si>
  <si>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</si>
  <si>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</si>
  <si>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</si>
  <si>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</si>
  <si>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</si>
  <si>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</si>
  <si>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</si>
  <si>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</si>
  <si>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</si>
  <si>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</si>
  <si>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</si>
  <si>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</si>
  <si>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</si>
  <si>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</si>
  <si>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</si>
  <si>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</si>
  <si>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</si>
  <si>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</si>
  <si>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</si>
  <si>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</si>
  <si>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</si>
  <si>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</si>
  <si>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</si>
  <si>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</si>
  <si>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</si>
  <si>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</si>
  <si>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</si>
  <si>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</si>
  <si>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</si>
  <si>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</si>
  <si>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</si>
  <si>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</si>
  <si>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</si>
  <si>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</si>
  <si>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</si>
  <si>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</si>
  <si>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</si>
  <si>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</si>
  <si>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</si>
  <si>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</si>
  <si>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</si>
  <si>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</si>
  <si>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</si>
  <si>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</si>
  <si>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</si>
  <si>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</si>
  <si>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</si>
  <si>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</si>
  <si>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</si>
  <si>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</si>
  <si>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</si>
  <si>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</si>
  <si>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</si>
  <si>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</si>
  <si>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</si>
  <si>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</si>
  <si>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</si>
  <si>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</si>
  <si>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</si>
  <si>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</si>
  <si>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</si>
  <si>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</si>
  <si>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</si>
  <si>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</si>
  <si>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</si>
  <si>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</si>
  <si>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</si>
  <si>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</si>
  <si>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</si>
  <si>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</si>
  <si>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</si>
  <si>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</si>
  <si>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</si>
  <si>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</si>
  <si>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</si>
  <si>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</si>
  <si>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</si>
  <si>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</si>
  <si>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</si>
  <si>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</si>
  <si>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</si>
  <si>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</si>
  <si>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</si>
  <si>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</si>
  <si>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</si>
  <si>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</si>
  <si>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</si>
  <si>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</si>
  <si>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</si>
  <si>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</si>
  <si>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</si>
  <si>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</si>
  <si>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</si>
  <si>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</si>
  <si>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</si>
  <si>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</si>
  <si>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</si>
  <si>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</si>
  <si>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</si>
  <si>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</si>
  <si>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</si>
  <si>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</si>
  <si>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</si>
  <si>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</si>
  <si>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</si>
  <si>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</si>
  <si>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</si>
  <si>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</si>
  <si>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</si>
  <si>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</si>
  <si>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</si>
  <si>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</si>
  <si>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</si>
  <si>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</si>
  <si>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</si>
  <si>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</si>
  <si>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</si>
  <si>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</si>
  <si>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</si>
  <si>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</si>
  <si>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</si>
  <si>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</si>
  <si>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</si>
  <si>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</si>
  <si>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</si>
  <si>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</si>
  <si>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</si>
  <si>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</si>
  <si>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</si>
  <si>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</si>
  <si>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</si>
  <si>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</si>
  <si>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</si>
  <si>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</si>
  <si>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</si>
  <si>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</si>
  <si>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</si>
  <si>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</si>
  <si>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</si>
  <si>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</si>
  <si>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</si>
  <si>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</si>
  <si>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</si>
  <si>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</si>
  <si>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</si>
  <si>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</si>
  <si>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</si>
  <si>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</si>
  <si>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</si>
  <si>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</si>
  <si>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</si>
  <si>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</si>
  <si>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</si>
  <si>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</si>
  <si>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</si>
  <si>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</si>
  <si>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</si>
  <si>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</si>
  <si>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</si>
  <si>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</si>
  <si>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</si>
  <si>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</si>
  <si>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</si>
  <si>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</si>
  <si>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</si>
  <si>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</si>
  <si>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</si>
  <si>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</si>
  <si>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</si>
  <si>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</si>
  <si>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</si>
  <si>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</si>
  <si>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</si>
  <si>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</si>
  <si>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</si>
  <si>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</si>
  <si>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</si>
  <si>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</si>
  <si>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</si>
  <si>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</si>
  <si>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</si>
  <si>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</si>
  <si>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</si>
  <si>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</si>
  <si>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</si>
  <si>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</si>
  <si>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</si>
  <si>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</si>
  <si>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</si>
  <si>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</si>
  <si>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</si>
  <si>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</si>
  <si>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</si>
  <si>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</si>
  <si>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</si>
  <si>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</si>
  <si>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</si>
  <si>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</si>
  <si>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</si>
  <si>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</si>
  <si>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</si>
  <si>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</si>
  <si>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</si>
  <si>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</si>
  <si>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</si>
  <si>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</si>
  <si>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</si>
  <si>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</si>
  <si>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</si>
  <si>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</si>
  <si>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</si>
  <si>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</si>
  <si>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</si>
  <si>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</si>
  <si>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</si>
  <si>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</si>
  <si>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</si>
  <si>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</si>
  <si>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</si>
  <si>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</si>
  <si>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</si>
  <si>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</si>
  <si>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</si>
  <si>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</si>
  <si>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</si>
  <si>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</si>
  <si>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</si>
  <si>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</si>
  <si>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</si>
  <si>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</si>
  <si>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</si>
  <si>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</si>
  <si>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</si>
  <si>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</si>
  <si>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</si>
  <si>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</si>
  <si>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</si>
  <si>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</si>
  <si>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</si>
  <si>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</si>
  <si>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</si>
  <si>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</si>
  <si>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</si>
  <si>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</si>
  <si>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</si>
  <si>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</si>
  <si>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</si>
  <si>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</si>
  <si>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</si>
  <si>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</si>
  <si>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</si>
  <si>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</si>
  <si>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</si>
  <si>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</si>
  <si>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</si>
  <si>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</si>
  <si>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</si>
  <si>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</si>
  <si>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</si>
  <si>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</si>
  <si>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</si>
  <si>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</si>
  <si>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</si>
  <si>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</si>
  <si>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</si>
  <si>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</si>
  <si>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</si>
  <si>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</si>
  <si>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</si>
  <si>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</si>
  <si>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</si>
  <si>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</si>
  <si>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</si>
  <si>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</si>
  <si>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</si>
  <si>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</si>
  <si>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</si>
  <si>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</si>
  <si>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</si>
  <si>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</si>
  <si>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</si>
  <si>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</si>
  <si>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</si>
  <si>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</si>
  <si>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</si>
  <si>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</si>
  <si>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</si>
  <si>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</si>
  <si>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</si>
  <si>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</si>
  <si>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</si>
  <si>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</si>
  <si>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</si>
  <si>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</si>
  <si>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</si>
  <si>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</si>
  <si>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</si>
  <si>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</si>
  <si>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</si>
  <si>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</si>
  <si>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</si>
  <si>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</si>
  <si>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</si>
  <si>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</si>
  <si>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</si>
  <si>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</si>
  <si>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</si>
  <si>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</si>
  <si>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</si>
  <si>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</si>
  <si>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</si>
  <si>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</si>
  <si>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</si>
  <si>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</si>
  <si>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</si>
  <si>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</si>
  <si>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</si>
  <si>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</si>
  <si>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</si>
  <si>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</si>
  <si>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</si>
  <si>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</si>
  <si>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</si>
  <si>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</si>
  <si>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</si>
  <si>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</si>
  <si>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</si>
  <si>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</si>
  <si>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</si>
  <si>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</si>
  <si>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</si>
  <si>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</si>
  <si>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</si>
  <si>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</si>
  <si>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</si>
  <si>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</si>
  <si>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</si>
  <si>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</si>
  <si>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</si>
  <si>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</si>
  <si>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</si>
  <si>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</si>
  <si>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</si>
  <si>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</si>
  <si>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</si>
  <si>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</si>
  <si>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</si>
  <si>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</si>
  <si>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</si>
  <si>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</si>
  <si>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</si>
  <si>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</si>
  <si>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</si>
  <si>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</si>
  <si>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</si>
  <si>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</si>
  <si>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</si>
  <si>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</si>
  <si>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</si>
  <si>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</si>
  <si>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</si>
  <si>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</si>
  <si>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</si>
  <si>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</si>
  <si>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</si>
  <si>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</si>
  <si>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</si>
  <si>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</si>
  <si>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</si>
  <si>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</si>
  <si>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</si>
  <si>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</si>
  <si>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</si>
  <si>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</si>
  <si>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</si>
  <si>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</si>
  <si>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</si>
  <si>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</si>
  <si>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</si>
  <si>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</si>
  <si>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</si>
  <si>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</si>
  <si>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</si>
  <si>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</si>
  <si>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</si>
  <si>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</si>
  <si>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</si>
  <si>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</si>
  <si>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</si>
  <si>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</si>
  <si>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</si>
  <si>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</si>
  <si>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</si>
  <si>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</si>
  <si>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</si>
  <si>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</si>
  <si>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</si>
  <si>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</si>
  <si>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</si>
  <si>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</si>
  <si>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</si>
  <si>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</si>
  <si>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</si>
  <si>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</si>
  <si>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</si>
  <si>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</si>
  <si>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</si>
  <si>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</si>
  <si>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</si>
  <si>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</si>
  <si>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</si>
  <si>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</si>
  <si>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</si>
  <si>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</si>
  <si>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</si>
  <si>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</si>
  <si>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</si>
  <si>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</si>
  <si>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</si>
  <si>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</si>
  <si>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</si>
  <si>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12030</t>
  </si>
  <si>
    <t>PUURS</t>
  </si>
  <si>
    <t>Eandis (januari 2018); Infrax (juni 2018)</t>
  </si>
  <si>
    <t>MOW (september 2017)</t>
  </si>
  <si>
    <t>referentietaak LNE (2017); Jaarverslag De Lijn (2016)</t>
  </si>
  <si>
    <t>VEA (april 2018)</t>
  </si>
  <si>
    <t>VEA (januari 2017)</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</si>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</sst>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128363.77015587816</c:v>
                </c:pt>
                <c:pt idx="1">
                  <c:v>72297.589285117938</c:v>
                </c:pt>
                <c:pt idx="2">
                  <c:v>1553.729</c:v>
                </c:pt>
                <c:pt idx="3">
                  <c:v>4706.0259873010564</c:v>
                </c:pt>
                <c:pt idx="4">
                  <c:v>336362.36261434149</c:v>
                </c:pt>
                <c:pt idx="5">
                  <c:v>449840.91274487542</c:v>
                </c:pt>
                <c:pt idx="6">
                  <c:v>1634.8476297604354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128363.77015587816</c:v>
                </c:pt>
                <c:pt idx="1">
                  <c:v>72297.589285117938</c:v>
                </c:pt>
                <c:pt idx="2">
                  <c:v>1553.729</c:v>
                </c:pt>
                <c:pt idx="3">
                  <c:v>4706.0259873010564</c:v>
                </c:pt>
                <c:pt idx="4">
                  <c:v>336362.36261434149</c:v>
                </c:pt>
                <c:pt idx="5">
                  <c:v>449840.91274487542</c:v>
                </c:pt>
                <c:pt idx="6">
                  <c:v>1634.8476297604354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23377.453812853448</c:v>
                </c:pt>
                <c:pt idx="2">
                  <c:v>13461.217349175891</c:v>
                </c:pt>
                <c:pt idx="3">
                  <c:v>289.21907221383412</c:v>
                </c:pt>
                <c:pt idx="4">
                  <c:v>1173.7130066805976</c:v>
                </c:pt>
                <c:pt idx="5">
                  <c:v>64556.539987042212</c:v>
                </c:pt>
                <c:pt idx="6">
                  <c:v>112764.01325709454</c:v>
                </c:pt>
                <c:pt idx="7">
                  <c:v>413.04517464563781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341440"/>
      </c:barChart>
      <c:catAx>
        <c:axId val="183270016"/>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23377.453812853448</c:v>
                </c:pt>
                <c:pt idx="2">
                  <c:v>13461.217349175891</c:v>
                </c:pt>
                <c:pt idx="3">
                  <c:v>289.21907221383412</c:v>
                </c:pt>
                <c:pt idx="4">
                  <c:v>1173.7130066805976</c:v>
                </c:pt>
                <c:pt idx="5">
                  <c:v>64556.539987042212</c:v>
                </c:pt>
                <c:pt idx="6">
                  <c:v>112764.01325709454</c:v>
                </c:pt>
                <c:pt idx="7">
                  <c:v>413.04517464563781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0.18614512068310118</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0.18614512068310118</v>
      </c>
      <c r="C29" s="525">
        <f ca="1">'EF ele_warmte'!B22</f>
        <v>0.23764705882352938</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7042</v>
      </c>
      <c r="C9" s="342">
        <v>7472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1192.7</v>
      </c>
    </row>
    <row r="15" spans="1:6">
      <c r="A15" s="348" t="s">
        <v>184</v>
      </c>
      <c r="B15" s="334">
        <v>1310</v>
      </c>
    </row>
    <row r="16" spans="1:6">
      <c r="A16" s="348" t="s">
        <v>6</v>
      </c>
      <c r="B16" s="334">
        <v>504</v>
      </c>
    </row>
    <row r="17" spans="1:6">
      <c r="A17" s="348" t="s">
        <v>7</v>
      </c>
      <c r="B17" s="334">
        <v>22</v>
      </c>
    </row>
    <row r="18" spans="1:6">
      <c r="A18" s="348" t="s">
        <v>8</v>
      </c>
      <c r="B18" s="334">
        <v>310</v>
      </c>
    </row>
    <row r="19" spans="1:6">
      <c r="A19" s="348" t="s">
        <v>9</v>
      </c>
      <c r="B19" s="334">
        <v>71</v>
      </c>
    </row>
    <row r="20" spans="1:6">
      <c r="A20" s="348" t="s">
        <v>10</v>
      </c>
      <c r="B20" s="334">
        <v>55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2482</v>
      </c>
    </row>
    <row r="29" spans="1:6">
      <c r="A29" s="355" t="s">
        <v>744</v>
      </c>
      <c r="B29" s="355">
        <v>94</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42345.636481020803</v>
      </c>
    </row>
    <row r="39" spans="1:6">
      <c r="A39" s="348" t="s">
        <v>30</v>
      </c>
      <c r="B39" s="348" t="s">
        <v>31</v>
      </c>
      <c r="C39" s="334">
        <v>5343</v>
      </c>
      <c r="D39" s="334">
        <v>86992462.453022897</v>
      </c>
      <c r="E39" s="334">
        <v>6925</v>
      </c>
      <c r="F39" s="334">
        <v>23927776.048589401</v>
      </c>
    </row>
    <row r="40" spans="1:6">
      <c r="A40" s="348" t="s">
        <v>30</v>
      </c>
      <c r="B40" s="348" t="s">
        <v>29</v>
      </c>
      <c r="C40" s="334">
        <v>0</v>
      </c>
      <c r="D40" s="334">
        <v>0</v>
      </c>
      <c r="E40" s="334">
        <v>0</v>
      </c>
      <c r="F40" s="334">
        <v>0</v>
      </c>
    </row>
    <row r="41" spans="1:6">
      <c r="A41" s="348" t="s">
        <v>32</v>
      </c>
      <c r="B41" s="348" t="s">
        <v>33</v>
      </c>
      <c r="C41" s="334">
        <v>70</v>
      </c>
      <c r="D41" s="334">
        <v>1734230.7902514699</v>
      </c>
      <c r="E41" s="334">
        <v>170</v>
      </c>
      <c r="F41" s="334">
        <v>9534133.3873638604</v>
      </c>
    </row>
    <row r="42" spans="1:6">
      <c r="A42" s="348" t="s">
        <v>32</v>
      </c>
      <c r="B42" s="348" t="s">
        <v>34</v>
      </c>
      <c r="C42" s="334">
        <v>10</v>
      </c>
      <c r="D42" s="334">
        <v>118138257.639589</v>
      </c>
      <c r="E42" s="334">
        <v>7</v>
      </c>
      <c r="F42" s="334">
        <v>55057964.9363482</v>
      </c>
    </row>
    <row r="43" spans="1:6">
      <c r="A43" s="348" t="s">
        <v>32</v>
      </c>
      <c r="B43" s="348" t="s">
        <v>35</v>
      </c>
      <c r="C43" s="334">
        <v>0</v>
      </c>
      <c r="D43" s="334">
        <v>0</v>
      </c>
      <c r="E43" s="334">
        <v>0</v>
      </c>
      <c r="F43" s="334">
        <v>0</v>
      </c>
    </row>
    <row r="44" spans="1:6">
      <c r="A44" s="348" t="s">
        <v>32</v>
      </c>
      <c r="B44" s="348" t="s">
        <v>36</v>
      </c>
      <c r="C44" s="334">
        <v>3</v>
      </c>
      <c r="D44" s="334">
        <v>225283.104166921</v>
      </c>
      <c r="E44" s="334">
        <v>19</v>
      </c>
      <c r="F44" s="334">
        <v>1674440.0134312899</v>
      </c>
    </row>
    <row r="45" spans="1:6">
      <c r="A45" s="348" t="s">
        <v>32</v>
      </c>
      <c r="B45" s="348" t="s">
        <v>37</v>
      </c>
      <c r="C45" s="334">
        <v>3</v>
      </c>
      <c r="D45" s="334">
        <v>138856.809951312</v>
      </c>
      <c r="E45" s="334">
        <v>3</v>
      </c>
      <c r="F45" s="334">
        <v>33386.701981481798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36753466.375812396</v>
      </c>
      <c r="E48" s="334">
        <v>55</v>
      </c>
      <c r="F48" s="334">
        <v>46428244.0320208</v>
      </c>
    </row>
    <row r="49" spans="1:6">
      <c r="A49" s="348" t="s">
        <v>32</v>
      </c>
      <c r="B49" s="348" t="s">
        <v>40</v>
      </c>
      <c r="C49" s="334">
        <v>0</v>
      </c>
      <c r="D49" s="334">
        <v>0</v>
      </c>
      <c r="E49" s="334">
        <v>0</v>
      </c>
      <c r="F49" s="334">
        <v>0</v>
      </c>
    </row>
    <row r="50" spans="1:6">
      <c r="A50" s="348" t="s">
        <v>32</v>
      </c>
      <c r="B50" s="348" t="s">
        <v>41</v>
      </c>
      <c r="C50" s="334">
        <v>18</v>
      </c>
      <c r="D50" s="334">
        <v>34603421.687191598</v>
      </c>
      <c r="E50" s="334">
        <v>16</v>
      </c>
      <c r="F50" s="334">
        <v>16735866.270700101</v>
      </c>
    </row>
    <row r="51" spans="1:6">
      <c r="A51" s="348" t="s">
        <v>42</v>
      </c>
      <c r="B51" s="348" t="s">
        <v>43</v>
      </c>
      <c r="C51" s="334">
        <v>6</v>
      </c>
      <c r="D51" s="334">
        <v>381670.832734817</v>
      </c>
      <c r="E51" s="334">
        <v>30</v>
      </c>
      <c r="F51" s="334">
        <v>368271.24137704802</v>
      </c>
    </row>
    <row r="52" spans="1:6">
      <c r="A52" s="348" t="s">
        <v>42</v>
      </c>
      <c r="B52" s="348" t="s">
        <v>29</v>
      </c>
      <c r="C52" s="334">
        <v>7</v>
      </c>
      <c r="D52" s="334">
        <v>79162.129979029196</v>
      </c>
      <c r="E52" s="334">
        <v>12</v>
      </c>
      <c r="F52" s="334">
        <v>435133.23067600501</v>
      </c>
    </row>
    <row r="53" spans="1:6">
      <c r="A53" s="348" t="s">
        <v>44</v>
      </c>
      <c r="B53" s="348" t="s">
        <v>45</v>
      </c>
      <c r="C53" s="334">
        <v>105</v>
      </c>
      <c r="D53" s="334">
        <v>1577590.6504454899</v>
      </c>
      <c r="E53" s="334">
        <v>244</v>
      </c>
      <c r="F53" s="334">
        <v>829038.91601699102</v>
      </c>
    </row>
    <row r="54" spans="1:6">
      <c r="A54" s="348" t="s">
        <v>46</v>
      </c>
      <c r="B54" s="348" t="s">
        <v>47</v>
      </c>
      <c r="C54" s="334">
        <v>0</v>
      </c>
      <c r="D54" s="334">
        <v>0</v>
      </c>
      <c r="E54" s="334">
        <v>1</v>
      </c>
      <c r="F54" s="334">
        <v>1553729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4701969.1921748901</v>
      </c>
      <c r="E57" s="334">
        <v>84</v>
      </c>
      <c r="F57" s="334">
        <v>4964103.2068574699</v>
      </c>
    </row>
    <row r="58" spans="1:6">
      <c r="A58" s="348" t="s">
        <v>49</v>
      </c>
      <c r="B58" s="348" t="s">
        <v>51</v>
      </c>
      <c r="C58" s="334">
        <v>32</v>
      </c>
      <c r="D58" s="334">
        <v>2527753.9951870702</v>
      </c>
      <c r="E58" s="334">
        <v>46</v>
      </c>
      <c r="F58" s="334">
        <v>904855.03529176395</v>
      </c>
    </row>
    <row r="59" spans="1:6">
      <c r="A59" s="348" t="s">
        <v>49</v>
      </c>
      <c r="B59" s="348" t="s">
        <v>52</v>
      </c>
      <c r="C59" s="334">
        <v>88</v>
      </c>
      <c r="D59" s="334">
        <v>4720699.0409805803</v>
      </c>
      <c r="E59" s="334">
        <v>146</v>
      </c>
      <c r="F59" s="334">
        <v>4816086.5131331496</v>
      </c>
    </row>
    <row r="60" spans="1:6">
      <c r="A60" s="348" t="s">
        <v>49</v>
      </c>
      <c r="B60" s="348" t="s">
        <v>53</v>
      </c>
      <c r="C60" s="334">
        <v>59</v>
      </c>
      <c r="D60" s="334">
        <v>2985472.0709013599</v>
      </c>
      <c r="E60" s="334">
        <v>130</v>
      </c>
      <c r="F60" s="334">
        <v>2227381.3737836801</v>
      </c>
    </row>
    <row r="61" spans="1:6">
      <c r="A61" s="348" t="s">
        <v>49</v>
      </c>
      <c r="B61" s="348" t="s">
        <v>54</v>
      </c>
      <c r="C61" s="334">
        <v>164</v>
      </c>
      <c r="D61" s="334">
        <v>9932836.6349153202</v>
      </c>
      <c r="E61" s="334">
        <v>251</v>
      </c>
      <c r="F61" s="334">
        <v>7520362.4732771497</v>
      </c>
    </row>
    <row r="62" spans="1:6">
      <c r="A62" s="348" t="s">
        <v>49</v>
      </c>
      <c r="B62" s="348" t="s">
        <v>55</v>
      </c>
      <c r="C62" s="334">
        <v>22</v>
      </c>
      <c r="D62" s="334">
        <v>1855431.29377505</v>
      </c>
      <c r="E62" s="334">
        <v>21</v>
      </c>
      <c r="F62" s="334">
        <v>423098.89116067899</v>
      </c>
    </row>
    <row r="63" spans="1:6">
      <c r="A63" s="348" t="s">
        <v>49</v>
      </c>
      <c r="B63" s="348" t="s">
        <v>29</v>
      </c>
      <c r="C63" s="334">
        <v>95</v>
      </c>
      <c r="D63" s="334">
        <v>9099671.1159609593</v>
      </c>
      <c r="E63" s="334">
        <v>124</v>
      </c>
      <c r="F63" s="334">
        <v>8413375.7713130303</v>
      </c>
    </row>
    <row r="64" spans="1:6">
      <c r="A64" s="348" t="s">
        <v>56</v>
      </c>
      <c r="B64" s="348" t="s">
        <v>57</v>
      </c>
      <c r="C64" s="334">
        <v>0</v>
      </c>
      <c r="D64" s="334">
        <v>0</v>
      </c>
      <c r="E64" s="334">
        <v>0</v>
      </c>
      <c r="F64" s="334">
        <v>0</v>
      </c>
    </row>
    <row r="65" spans="1:6">
      <c r="A65" s="348" t="s">
        <v>56</v>
      </c>
      <c r="B65" s="348" t="s">
        <v>29</v>
      </c>
      <c r="C65" s="334">
        <v>3</v>
      </c>
      <c r="D65" s="334">
        <v>104898.271740582</v>
      </c>
      <c r="E65" s="334">
        <v>4</v>
      </c>
      <c r="F65" s="334">
        <v>24416.9669491553</v>
      </c>
    </row>
    <row r="66" spans="1:6">
      <c r="A66" s="348" t="s">
        <v>56</v>
      </c>
      <c r="B66" s="348" t="s">
        <v>58</v>
      </c>
      <c r="C66" s="334">
        <v>0</v>
      </c>
      <c r="D66" s="334">
        <v>0</v>
      </c>
      <c r="E66" s="334">
        <v>8</v>
      </c>
      <c r="F66" s="334">
        <v>2474971.2682805602</v>
      </c>
    </row>
    <row r="67" spans="1:6">
      <c r="A67" s="355" t="s">
        <v>56</v>
      </c>
      <c r="B67" s="355" t="s">
        <v>59</v>
      </c>
      <c r="C67" s="334">
        <v>0</v>
      </c>
      <c r="D67" s="334">
        <v>0</v>
      </c>
      <c r="E67" s="334">
        <v>0</v>
      </c>
      <c r="F67" s="334">
        <v>0</v>
      </c>
    </row>
    <row r="68" spans="1:6">
      <c r="A68" s="341" t="s">
        <v>56</v>
      </c>
      <c r="B68" s="341" t="s">
        <v>60</v>
      </c>
      <c r="C68" s="334">
        <v>6</v>
      </c>
      <c r="D68" s="334">
        <v>1752277.37883296</v>
      </c>
      <c r="E68" s="334">
        <v>24</v>
      </c>
      <c r="F68" s="334">
        <v>2128660.1581008201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261080097</v>
      </c>
      <c r="E73" s="475">
        <v>262990277.49462846</v>
      </c>
    </row>
    <row r="74" spans="1:6">
      <c r="A74" s="348" t="s">
        <v>64</v>
      </c>
      <c r="B74" s="348" t="s">
        <v>657</v>
      </c>
      <c r="C74" s="1295" t="s">
        <v>659</v>
      </c>
      <c r="D74" s="475">
        <v>44774635</v>
      </c>
      <c r="E74" s="475">
        <v>38390959.838018499</v>
      </c>
    </row>
    <row r="75" spans="1:6">
      <c r="A75" s="348" t="s">
        <v>65</v>
      </c>
      <c r="B75" s="348" t="s">
        <v>656</v>
      </c>
      <c r="C75" s="1295" t="s">
        <v>660</v>
      </c>
      <c r="D75" s="475">
        <v>67364091</v>
      </c>
      <c r="E75" s="475">
        <v>66654712.916097566</v>
      </c>
    </row>
    <row r="76" spans="1:6">
      <c r="A76" s="348" t="s">
        <v>65</v>
      </c>
      <c r="B76" s="348" t="s">
        <v>657</v>
      </c>
      <c r="C76" s="1295" t="s">
        <v>661</v>
      </c>
      <c r="D76" s="475">
        <v>10630201</v>
      </c>
      <c r="E76" s="475">
        <v>9027822.8102678396</v>
      </c>
    </row>
    <row r="77" spans="1:6">
      <c r="A77" s="348" t="s">
        <v>66</v>
      </c>
      <c r="B77" s="348" t="s">
        <v>656</v>
      </c>
      <c r="C77" s="1295" t="s">
        <v>662</v>
      </c>
      <c r="D77" s="475">
        <v>72902592</v>
      </c>
      <c r="E77" s="475">
        <v>74617012.766985089</v>
      </c>
    </row>
    <row r="78" spans="1:6">
      <c r="A78" s="341" t="s">
        <v>66</v>
      </c>
      <c r="B78" s="341" t="s">
        <v>657</v>
      </c>
      <c r="C78" s="341" t="s">
        <v>663</v>
      </c>
      <c r="D78" s="1296">
        <v>9864679</v>
      </c>
      <c r="E78" s="1296">
        <v>9950154.5829242356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443398</v>
      </c>
      <c r="C83" s="475">
        <v>445349.14576374175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23769.784128513922</v>
      </c>
    </row>
    <row r="91" spans="1:6">
      <c r="A91" s="348" t="s">
        <v>68</v>
      </c>
      <c r="B91" s="334">
        <v>3956.7771412506227</v>
      </c>
    </row>
    <row r="92" spans="1:6">
      <c r="A92" s="341" t="s">
        <v>69</v>
      </c>
      <c r="B92" s="342">
        <v>5665.5017610179639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167</v>
      </c>
    </row>
    <row r="130" spans="1:6">
      <c r="A130" s="348" t="s">
        <v>295</v>
      </c>
      <c r="B130" s="334">
        <v>1</v>
      </c>
    </row>
    <row r="131" spans="1:6">
      <c r="A131" s="348" t="s">
        <v>296</v>
      </c>
      <c r="B131" s="334">
        <v>3</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204690.41533767551</v>
      </c>
      <c r="C3" s="43" t="s">
        <v>170</v>
      </c>
      <c r="D3" s="43"/>
      <c r="E3" s="154"/>
      <c r="F3" s="43"/>
      <c r="G3" s="43"/>
      <c r="H3" s="43"/>
      <c r="I3" s="43"/>
      <c r="J3" s="43"/>
      <c r="K3" s="96"/>
    </row>
    <row r="4" spans="1:11">
      <c r="A4" s="383" t="s">
        <v>171</v>
      </c>
      <c r="B4" s="49">
        <f>IF(ISERROR('SEAP template'!B78+'SEAP template'!C78),0,'SEAP template'!B78+'SEAP template'!C78)</f>
        <v>48120.563030782505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3500.1847058823523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0.18614512068310118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5000.2638655462169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21040.714285714283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1553.729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1553.729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0.18614512068310118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289.21907221383412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23927.7760485894</v>
      </c>
      <c r="C5" s="17">
        <f>IF(ISERROR('Eigen informatie GS &amp; warmtenet'!B57),0,'Eigen informatie GS &amp; warmtenet'!B57)</f>
        <v>0</v>
      </c>
      <c r="D5" s="30">
        <f>(SUM(HH_hh_gas_kWh,HH_rest_gas_kWh)/1000)*0.902</f>
        <v>78467.201132626651</v>
      </c>
      <c r="E5" s="17">
        <f>B46*B57</f>
        <v>3118.9331123579159</v>
      </c>
      <c r="F5" s="17">
        <f>B51*B62</f>
        <v>6099.2803327359234</v>
      </c>
      <c r="G5" s="18"/>
      <c r="H5" s="17"/>
      <c r="I5" s="17"/>
      <c r="J5" s="17">
        <f>B50*B61+C50*C61</f>
        <v>0</v>
      </c>
      <c r="K5" s="17"/>
      <c r="L5" s="17"/>
      <c r="M5" s="17"/>
      <c r="N5" s="17">
        <f>B48*B59+C48*C59</f>
        <v>11553.429054984301</v>
      </c>
      <c r="O5" s="17">
        <f>B69*B70*B71</f>
        <v>325.17333333333335</v>
      </c>
      <c r="P5" s="17">
        <f>B77*B78*B79/1000-B77*B78*B79/1000/B80</f>
        <v>915.2</v>
      </c>
    </row>
    <row r="6" spans="1:16">
      <c r="A6" s="16" t="s">
        <v>621</v>
      </c>
      <c r="B6" s="788">
        <f>kWh_PV_kleiner_dan_10kW</f>
        <v>3956.7771412506227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27884.553189840022</v>
      </c>
      <c r="C8" s="21">
        <f>C5</f>
        <v>0</v>
      </c>
      <c r="D8" s="21">
        <f>D5</f>
        <v>78467.201132626651</v>
      </c>
      <c r="E8" s="21">
        <f>E5</f>
        <v>3118.9331123579159</v>
      </c>
      <c r="F8" s="21">
        <f>F5</f>
        <v>6099.2803327359234</v>
      </c>
      <c r="G8" s="21"/>
      <c r="H8" s="21"/>
      <c r="I8" s="21"/>
      <c r="J8" s="21">
        <f>J5</f>
        <v>0</v>
      </c>
      <c r="K8" s="21"/>
      <c r="L8" s="21">
        <f>L5</f>
        <v>0</v>
      </c>
      <c r="M8" s="21">
        <f>M5</f>
        <v>0</v>
      </c>
      <c r="N8" s="21">
        <f>N5</f>
        <v>11553.429054984301</v>
      </c>
      <c r="O8" s="21">
        <f>O5</f>
        <v>325.17333333333335</v>
      </c>
      <c r="P8" s="21">
        <f>P5</f>
        <v>915.2</v>
      </c>
    </row>
    <row r="9" spans="1:16">
      <c r="B9" s="19"/>
      <c r="C9" s="19"/>
      <c r="D9" s="258"/>
      <c r="E9" s="19"/>
      <c r="F9" s="19"/>
      <c r="G9" s="19"/>
      <c r="H9" s="19"/>
      <c r="I9" s="19"/>
      <c r="J9" s="19"/>
      <c r="K9" s="19"/>
      <c r="L9" s="19"/>
      <c r="M9" s="19"/>
      <c r="N9" s="19"/>
      <c r="O9" s="19"/>
      <c r="P9" s="19"/>
    </row>
    <row r="10" spans="1:16">
      <c r="A10" s="24" t="s">
        <v>214</v>
      </c>
      <c r="B10" s="25">
        <f ca="1">'EF ele_warmte'!B12</f>
        <v>0.18614512068310118</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5190.5735187171249</v>
      </c>
      <c r="C12" s="23">
        <f ca="1">C10*C8</f>
        <v>0</v>
      </c>
      <c r="D12" s="23">
        <f>D8*D10</f>
        <v>15850.374628790585</v>
      </c>
      <c r="E12" s="23">
        <f>E10*E8</f>
        <v>707.99781650524687</v>
      </c>
      <c r="F12" s="23">
        <f>F10*F8</f>
        <v>1628.5078488404915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7042</v>
      </c>
      <c r="C28" s="36"/>
      <c r="D28" s="228"/>
    </row>
    <row r="29" spans="1:7" s="15" customFormat="1">
      <c r="A29" s="230" t="s">
        <v>794</v>
      </c>
      <c r="B29" s="37">
        <f>SUM(HH_hh_gas_aantal,HH_rest_gas_aantal)</f>
        <v>5343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5343</v>
      </c>
      <c r="C32" s="167">
        <f>IF(ISERROR(B32/SUM($B$32,$B$34,$B$35,$B$36,$B$38,$B$39)*100),0,B32/SUM($B$32,$B$34,$B$35,$B$36,$B$38,$B$39)*100)</f>
        <v>76.394052044609666</v>
      </c>
      <c r="D32" s="233"/>
      <c r="G32" s="15"/>
    </row>
    <row r="33" spans="1:7">
      <c r="A33" s="171" t="s">
        <v>72</v>
      </c>
      <c r="B33" s="34" t="s">
        <v>111</v>
      </c>
      <c r="C33" s="167"/>
      <c r="D33" s="233"/>
      <c r="G33" s="15"/>
    </row>
    <row r="34" spans="1:7">
      <c r="A34" s="171" t="s">
        <v>73</v>
      </c>
      <c r="B34" s="33">
        <f>IF((($B$28-$B$32-$B$39-$B$77-$B$38)*C20/100)&lt;0,0,($B$28-$B$32-$B$39-$B$77-$B$38)*C20/100)</f>
        <v>147.30407239819004</v>
      </c>
      <c r="C34" s="167">
        <f>IF(ISERROR(B34/SUM($B$32,$B$34,$B$35,$B$36,$B$38,$B$39)*100),0,B34/SUM($B$32,$B$34,$B$35,$B$36,$B$38,$B$39)*100)</f>
        <v>2.1061491621130974</v>
      </c>
      <c r="D34" s="233"/>
      <c r="G34" s="15"/>
    </row>
    <row r="35" spans="1:7">
      <c r="A35" s="171" t="s">
        <v>74</v>
      </c>
      <c r="B35" s="33">
        <f>IF((($B$28-$B$32-$B$39-$B$77-$B$38)*C21/100)&lt;0,0,($B$28-$B$32-$B$39-$B$77-$B$38)*C21/100)</f>
        <v>1107.9828054298644</v>
      </c>
      <c r="C35" s="167">
        <f>IF(ISERROR(B35/SUM($B$32,$B$34,$B$35,$B$36,$B$38,$B$39)*100),0,B35/SUM($B$32,$B$34,$B$35,$B$36,$B$38,$B$39)*100)</f>
        <v>15.841904567198517</v>
      </c>
      <c r="D35" s="233"/>
      <c r="G35" s="15"/>
    </row>
    <row r="36" spans="1:7">
      <c r="A36" s="171" t="s">
        <v>75</v>
      </c>
      <c r="B36" s="33">
        <f>IF((($B$28-$B$32-$B$39-$B$77-$B$38)*C22/100)&lt;0,0,($B$28-$B$32-$B$39-$B$77-$B$38)*C22/100)</f>
        <v>160.11312217194572</v>
      </c>
      <c r="C36" s="167">
        <f>IF(ISERROR(B36/SUM($B$32,$B$34,$B$35,$B$36,$B$38,$B$39)*100),0,B36/SUM($B$32,$B$34,$B$35,$B$36,$B$38,$B$39)*100)</f>
        <v>2.2892925675142366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235.59999999999991</v>
      </c>
      <c r="C39" s="167">
        <f>IF(ISERROR(B39/SUM($B$32,$B$34,$B$35,$B$36,$B$38,$B$39)*100),0,B39/SUM($B$32,$B$34,$B$35,$B$36,$B$38,$B$39)*100)</f>
        <v>3.3686016585644825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5343</v>
      </c>
      <c r="C44" s="34" t="s">
        <v>111</v>
      </c>
      <c r="D44" s="174"/>
    </row>
    <row r="45" spans="1:7">
      <c r="A45" s="171" t="s">
        <v>72</v>
      </c>
      <c r="B45" s="33" t="str">
        <f t="shared" si="0"/>
        <v>-</v>
      </c>
      <c r="C45" s="34" t="s">
        <v>111</v>
      </c>
      <c r="D45" s="174"/>
    </row>
    <row r="46" spans="1:7">
      <c r="A46" s="171" t="s">
        <v>73</v>
      </c>
      <c r="B46" s="33">
        <f t="shared" si="0"/>
        <v>147.30407239819004</v>
      </c>
      <c r="C46" s="34" t="s">
        <v>111</v>
      </c>
      <c r="D46" s="174"/>
    </row>
    <row r="47" spans="1:7">
      <c r="A47" s="171" t="s">
        <v>74</v>
      </c>
      <c r="B47" s="33">
        <f t="shared" si="0"/>
        <v>1107.9828054298644</v>
      </c>
      <c r="C47" s="34" t="s">
        <v>111</v>
      </c>
      <c r="D47" s="174"/>
    </row>
    <row r="48" spans="1:7">
      <c r="A48" s="171" t="s">
        <v>75</v>
      </c>
      <c r="B48" s="33">
        <f t="shared" si="0"/>
        <v>160.11312217194572</v>
      </c>
      <c r="C48" s="33">
        <f>B48*10</f>
        <v>1601.1312217194572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235.59999999999991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29269.263264816924</v>
      </c>
      <c r="C5" s="17">
        <f>IF(ISERROR('Eigen informatie GS &amp; warmtenet'!B58),0,'Eigen informatie GS &amp; warmtenet'!B58)</f>
        <v>0</v>
      </c>
      <c r="D5" s="30">
        <f>SUM(D6:D12)</f>
        <v>32313.097676193494</v>
      </c>
      <c r="E5" s="17">
        <f>SUM(E6:E12)</f>
        <v>323.45644857037138</v>
      </c>
      <c r="F5" s="17">
        <f>SUM(F6:F12)</f>
        <v>5302.0505123709318</v>
      </c>
      <c r="G5" s="18"/>
      <c r="H5" s="17"/>
      <c r="I5" s="17"/>
      <c r="J5" s="17">
        <f>SUM(J6:J12)</f>
        <v>0.12812442362814364</v>
      </c>
      <c r="K5" s="17"/>
      <c r="L5" s="17"/>
      <c r="M5" s="17"/>
      <c r="N5" s="17">
        <f>SUM(N6:N12)</f>
        <v>5059.7584968378196</v>
      </c>
      <c r="O5" s="17">
        <f>B38*B39*B40</f>
        <v>1.5633333333333335</v>
      </c>
      <c r="P5" s="17">
        <f>B46*B47*B48/1000-B46*B47*B48/1000/B49</f>
        <v>57.2</v>
      </c>
      <c r="R5" s="32"/>
    </row>
    <row r="6" spans="1:18">
      <c r="A6" s="32" t="s">
        <v>54</v>
      </c>
      <c r="B6" s="37">
        <f>B26</f>
        <v>7520.3624732771495</v>
      </c>
      <c r="C6" s="33"/>
      <c r="D6" s="37">
        <f>IF(ISERROR(TER_kantoor_gas_kWh/1000),0,TER_kantoor_gas_kWh/1000)*0.902</f>
        <v>8959.4186446936183</v>
      </c>
      <c r="E6" s="33">
        <f>$C$26*'E Balans VL '!I12/100/3.6*1000000</f>
        <v>4.713513074912791E-2</v>
      </c>
      <c r="F6" s="33">
        <f>$C$26*('E Balans VL '!L12+'E Balans VL '!N12)/100/3.6*1000000</f>
        <v>1130.1003407643082</v>
      </c>
      <c r="G6" s="34"/>
      <c r="H6" s="33"/>
      <c r="I6" s="33"/>
      <c r="J6" s="33">
        <f>$C$26*('E Balans VL '!D12+'E Balans VL '!E12)/100/3.6*1000000</f>
        <v>0</v>
      </c>
      <c r="K6" s="33"/>
      <c r="L6" s="33"/>
      <c r="M6" s="33"/>
      <c r="N6" s="33">
        <f>$C$26*'E Balans VL '!Y12/100/3.6*1000000</f>
        <v>7.1921116895864188</v>
      </c>
      <c r="O6" s="33"/>
      <c r="P6" s="33"/>
      <c r="R6" s="32"/>
    </row>
    <row r="7" spans="1:18">
      <c r="A7" s="32" t="s">
        <v>53</v>
      </c>
      <c r="B7" s="37">
        <f t="shared" ref="B7:B12" si="0">B27</f>
        <v>2227.3813737836799</v>
      </c>
      <c r="C7" s="33"/>
      <c r="D7" s="37">
        <f>IF(ISERROR(TER_horeca_gas_kWh/1000),0,TER_horeca_gas_kWh/1000)*0.902</f>
        <v>2692.8958079530266</v>
      </c>
      <c r="E7" s="33">
        <f>$C$27*'E Balans VL '!I9/100/3.6*1000000</f>
        <v>31.8957302616707</v>
      </c>
      <c r="F7" s="33">
        <f>$C$27*('E Balans VL '!L9+'E Balans VL '!N9)/100/3.6*1000000</f>
        <v>282.05994378890318</v>
      </c>
      <c r="G7" s="34"/>
      <c r="H7" s="33"/>
      <c r="I7" s="33"/>
      <c r="J7" s="33">
        <f>$C$27*('E Balans VL '!D9+'E Balans VL '!E9)/100/3.6*1000000</f>
        <v>0</v>
      </c>
      <c r="K7" s="33"/>
      <c r="L7" s="33"/>
      <c r="M7" s="33"/>
      <c r="N7" s="33">
        <f>$C$27*'E Balans VL '!Y9/100/3.6*1000000</f>
        <v>0.64032303541906288</v>
      </c>
      <c r="O7" s="33"/>
      <c r="P7" s="33"/>
      <c r="R7" s="32"/>
    </row>
    <row r="8" spans="1:18">
      <c r="A8" s="6" t="s">
        <v>52</v>
      </c>
      <c r="B8" s="37">
        <f t="shared" si="0"/>
        <v>4816.0865131331493</v>
      </c>
      <c r="C8" s="33"/>
      <c r="D8" s="37">
        <f>IF(ISERROR(TER_handel_gas_kWh/1000),0,TER_handel_gas_kWh/1000)*0.902</f>
        <v>4258.0705349644832</v>
      </c>
      <c r="E8" s="33">
        <f>$C$28*'E Balans VL '!I13/100/3.6*1000000</f>
        <v>174.67886393815789</v>
      </c>
      <c r="F8" s="33">
        <f>$C$28*('E Balans VL '!L13+'E Balans VL '!N13)/100/3.6*1000000</f>
        <v>927.62702840583404</v>
      </c>
      <c r="G8" s="34"/>
      <c r="H8" s="33"/>
      <c r="I8" s="33"/>
      <c r="J8" s="33">
        <f>$C$28*('E Balans VL '!D13+'E Balans VL '!E13)/100/3.6*1000000</f>
        <v>0</v>
      </c>
      <c r="K8" s="33"/>
      <c r="L8" s="33"/>
      <c r="M8" s="33"/>
      <c r="N8" s="33">
        <f>$C$28*'E Balans VL '!Y13/100/3.6*1000000</f>
        <v>6.6713879527748743</v>
      </c>
      <c r="O8" s="33"/>
      <c r="P8" s="33"/>
      <c r="R8" s="32"/>
    </row>
    <row r="9" spans="1:18">
      <c r="A9" s="32" t="s">
        <v>51</v>
      </c>
      <c r="B9" s="37">
        <f t="shared" si="0"/>
        <v>904.8550352917639</v>
      </c>
      <c r="C9" s="33"/>
      <c r="D9" s="37">
        <f>IF(ISERROR(TER_gezond_gas_kWh/1000),0,TER_gezond_gas_kWh/1000)*0.902</f>
        <v>2280.0341036587374</v>
      </c>
      <c r="E9" s="33">
        <f>$C$29*'E Balans VL '!I10/100/3.6*1000000</f>
        <v>5.6652859038748303E-2</v>
      </c>
      <c r="F9" s="33">
        <f>$C$29*('E Balans VL '!L10+'E Balans VL '!N10)/100/3.6*1000000</f>
        <v>134.41897051379965</v>
      </c>
      <c r="G9" s="34"/>
      <c r="H9" s="33"/>
      <c r="I9" s="33"/>
      <c r="J9" s="33">
        <f>$C$29*('E Balans VL '!D10+'E Balans VL '!E10)/100/3.6*1000000</f>
        <v>0</v>
      </c>
      <c r="K9" s="33"/>
      <c r="L9" s="33"/>
      <c r="M9" s="33"/>
      <c r="N9" s="33">
        <f>$C$29*'E Balans VL '!Y10/100/3.6*1000000</f>
        <v>13.996384996940547</v>
      </c>
      <c r="O9" s="33"/>
      <c r="P9" s="33"/>
      <c r="R9" s="32"/>
    </row>
    <row r="10" spans="1:18">
      <c r="A10" s="32" t="s">
        <v>50</v>
      </c>
      <c r="B10" s="37">
        <f t="shared" si="0"/>
        <v>4964.1032068574696</v>
      </c>
      <c r="C10" s="33"/>
      <c r="D10" s="37">
        <f>IF(ISERROR(TER_ander_gas_kWh/1000),0,TER_ander_gas_kWh/1000)*0.902</f>
        <v>4241.1762113417508</v>
      </c>
      <c r="E10" s="33">
        <f>$C$30*'E Balans VL '!I14/100/3.6*1000000</f>
        <v>5.9170336354986395</v>
      </c>
      <c r="F10" s="33">
        <f>$C$30*('E Balans VL '!L14+'E Balans VL '!N14)/100/3.6*1000000</f>
        <v>1298.8300856090646</v>
      </c>
      <c r="G10" s="34"/>
      <c r="H10" s="33"/>
      <c r="I10" s="33"/>
      <c r="J10" s="33">
        <f>$C$30*('E Balans VL '!D14+'E Balans VL '!E14)/100/3.6*1000000</f>
        <v>0.10775122187359892</v>
      </c>
      <c r="K10" s="33"/>
      <c r="L10" s="33"/>
      <c r="M10" s="33"/>
      <c r="N10" s="33">
        <f>$C$30*'E Balans VL '!Y14/100/3.6*1000000</f>
        <v>4215.3949733677018</v>
      </c>
      <c r="O10" s="33"/>
      <c r="P10" s="33"/>
      <c r="R10" s="32"/>
    </row>
    <row r="11" spans="1:18">
      <c r="A11" s="32" t="s">
        <v>55</v>
      </c>
      <c r="B11" s="37">
        <f t="shared" si="0"/>
        <v>423.09889116067899</v>
      </c>
      <c r="C11" s="33"/>
      <c r="D11" s="37">
        <f>IF(ISERROR(TER_onderwijs_gas_kWh/1000),0,TER_onderwijs_gas_kWh/1000)*0.902</f>
        <v>1673.599026985095</v>
      </c>
      <c r="E11" s="33">
        <f>$C$31*'E Balans VL '!I11/100/3.6*1000000</f>
        <v>6.3838808020500792</v>
      </c>
      <c r="F11" s="33">
        <f>$C$31*('E Balans VL '!L11+'E Balans VL '!N11)/100/3.6*1000000</f>
        <v>74.133684937221361</v>
      </c>
      <c r="G11" s="34"/>
      <c r="H11" s="33"/>
      <c r="I11" s="33"/>
      <c r="J11" s="33">
        <f>$C$31*('E Balans VL '!D11+'E Balans VL '!E11)/100/3.6*1000000</f>
        <v>0</v>
      </c>
      <c r="K11" s="33"/>
      <c r="L11" s="33"/>
      <c r="M11" s="33"/>
      <c r="N11" s="33">
        <f>$C$31*'E Balans VL '!Y11/100/3.6*1000000</f>
        <v>1.190632444928768</v>
      </c>
      <c r="O11" s="33"/>
      <c r="P11" s="33"/>
      <c r="R11" s="32"/>
    </row>
    <row r="12" spans="1:18">
      <c r="A12" s="32" t="s">
        <v>260</v>
      </c>
      <c r="B12" s="37">
        <f t="shared" si="0"/>
        <v>8413.3757713130308</v>
      </c>
      <c r="C12" s="33"/>
      <c r="D12" s="37">
        <f>IF(ISERROR(TER_rest_gas_kWh/1000),0,TER_rest_gas_kWh/1000)*0.902</f>
        <v>8207.9033465967841</v>
      </c>
      <c r="E12" s="33">
        <f>$C$32*'E Balans VL '!I8/100/3.6*1000000</f>
        <v>104.47715194320624</v>
      </c>
      <c r="F12" s="33">
        <f>$C$32*('E Balans VL '!L8+'E Balans VL '!N8)/100/3.6*1000000</f>
        <v>1454.8804583518013</v>
      </c>
      <c r="G12" s="34"/>
      <c r="H12" s="33"/>
      <c r="I12" s="33"/>
      <c r="J12" s="33">
        <f>$C$32*('E Balans VL '!D8+'E Balans VL '!E8)/100/3.6*1000000</f>
        <v>2.0373201754544719E-2</v>
      </c>
      <c r="K12" s="33"/>
      <c r="L12" s="33"/>
      <c r="M12" s="33"/>
      <c r="N12" s="33">
        <f>$C$32*'E Balans VL '!Y8/100/3.6*1000000</f>
        <v>814.67268335046845</v>
      </c>
      <c r="O12" s="33"/>
      <c r="P12" s="33"/>
      <c r="R12" s="32"/>
    </row>
    <row r="13" spans="1:18">
      <c r="A13" s="16" t="s">
        <v>488</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29336.763264816924</v>
      </c>
      <c r="C16" s="21">
        <f t="shared" ca="1" si="1"/>
        <v>96.428571428571431</v>
      </c>
      <c r="D16" s="21">
        <f t="shared" ca="1" si="1"/>
        <v>32120.240533336353</v>
      </c>
      <c r="E16" s="21">
        <f t="shared" si="1"/>
        <v>323.45644857037138</v>
      </c>
      <c r="F16" s="21">
        <f t="shared" ca="1" si="1"/>
        <v>5302.0505123709318</v>
      </c>
      <c r="G16" s="21">
        <f t="shared" si="1"/>
        <v>0</v>
      </c>
      <c r="H16" s="21">
        <f t="shared" si="1"/>
        <v>0</v>
      </c>
      <c r="I16" s="21">
        <f t="shared" si="1"/>
        <v>0</v>
      </c>
      <c r="J16" s="21">
        <f t="shared" si="1"/>
        <v>0.12812442362814364</v>
      </c>
      <c r="K16" s="21">
        <f t="shared" si="1"/>
        <v>0</v>
      </c>
      <c r="L16" s="21">
        <f t="shared" ca="1" si="1"/>
        <v>0</v>
      </c>
      <c r="M16" s="21">
        <f t="shared" si="1"/>
        <v>0</v>
      </c>
      <c r="N16" s="21">
        <f t="shared" ca="1" si="1"/>
        <v>5059.7584968378196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0.18614512068310118</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5460.8953383809157</v>
      </c>
      <c r="C20" s="23">
        <f t="shared" ref="C20:P20" ca="1" si="2">C16*C18</f>
        <v>22.915966386554619</v>
      </c>
      <c r="D20" s="23">
        <f t="shared" ca="1" si="2"/>
        <v>6488.288587733944</v>
      </c>
      <c r="E20" s="23">
        <f t="shared" si="2"/>
        <v>73.42461382547431</v>
      </c>
      <c r="F20" s="23">
        <f t="shared" ca="1" si="2"/>
        <v>1415.6474868030389</v>
      </c>
      <c r="G20" s="23">
        <f t="shared" si="2"/>
        <v>0</v>
      </c>
      <c r="H20" s="23">
        <f t="shared" si="2"/>
        <v>0</v>
      </c>
      <c r="I20" s="23">
        <f t="shared" si="2"/>
        <v>0</v>
      </c>
      <c r="J20" s="23">
        <f t="shared" si="2"/>
        <v>4.5356045964362844E-2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7520.3624732771495</v>
      </c>
      <c r="C26" s="39">
        <f>IF(ISERROR(B26*3.6/1000000/'E Balans VL '!Z12*100),0,B26*3.6/1000000/'E Balans VL '!Z12*100)</f>
        <v>0.1589685494686304</v>
      </c>
      <c r="D26" s="237" t="s">
        <v>754</v>
      </c>
      <c r="F26" s="6"/>
    </row>
    <row r="27" spans="1:18">
      <c r="A27" s="231" t="s">
        <v>53</v>
      </c>
      <c r="B27" s="33">
        <f>IF(ISERROR(TER_horeca_ele_kWh/1000),0,TER_horeca_ele_kWh/1000)</f>
        <v>2227.3813737836799</v>
      </c>
      <c r="C27" s="39">
        <f>IF(ISERROR(B27*3.6/1000000/'E Balans VL '!Z9*100),0,B27*3.6/1000000/'E Balans VL '!Z9*100)</f>
        <v>0.17558364350794686</v>
      </c>
      <c r="D27" s="237" t="s">
        <v>754</v>
      </c>
      <c r="F27" s="6"/>
    </row>
    <row r="28" spans="1:18">
      <c r="A28" s="171" t="s">
        <v>52</v>
      </c>
      <c r="B28" s="33">
        <f>IF(ISERROR(TER_handel_ele_kWh/1000),0,TER_handel_ele_kWh/1000)</f>
        <v>4816.0865131331493</v>
      </c>
      <c r="C28" s="39">
        <f>IF(ISERROR(B28*3.6/1000000/'E Balans VL '!Z13*100),0,B28*3.6/1000000/'E Balans VL '!Z13*100)</f>
        <v>0.13978228978115584</v>
      </c>
      <c r="D28" s="237" t="s">
        <v>754</v>
      </c>
      <c r="F28" s="6"/>
    </row>
    <row r="29" spans="1:18">
      <c r="A29" s="231" t="s">
        <v>51</v>
      </c>
      <c r="B29" s="33">
        <f>IF(ISERROR(TER_gezond_ele_kWh/1000),0,TER_gezond_ele_kWh/1000)</f>
        <v>904.8550352917639</v>
      </c>
      <c r="C29" s="39">
        <f>IF(ISERROR(B29*3.6/1000000/'E Balans VL '!Z10*100),0,B29*3.6/1000000/'E Balans VL '!Z10*100)</f>
        <v>9.5296093328098949E-2</v>
      </c>
      <c r="D29" s="237" t="s">
        <v>754</v>
      </c>
      <c r="F29" s="6"/>
    </row>
    <row r="30" spans="1:18">
      <c r="A30" s="231" t="s">
        <v>50</v>
      </c>
      <c r="B30" s="33">
        <f>IF(ISERROR(TER_ander_ele_kWh/1000),0,TER_ander_ele_kWh/1000)</f>
        <v>4964.1032068574696</v>
      </c>
      <c r="C30" s="39">
        <f>IF(ISERROR(B30*3.6/1000000/'E Balans VL '!Z14*100),0,B30*3.6/1000000/'E Balans VL '!Z14*100)</f>
        <v>0.36615333073566014</v>
      </c>
      <c r="D30" s="237" t="s">
        <v>754</v>
      </c>
      <c r="F30" s="6"/>
    </row>
    <row r="31" spans="1:18">
      <c r="A31" s="231" t="s">
        <v>55</v>
      </c>
      <c r="B31" s="33">
        <f>IF(ISERROR(TER_onderwijs_ele_kWh/1000),0,TER_onderwijs_ele_kWh/1000)</f>
        <v>423.09889116067899</v>
      </c>
      <c r="C31" s="39">
        <f>IF(ISERROR(B31*3.6/1000000/'E Balans VL '!Z11*100),0,B31*3.6/1000000/'E Balans VL '!Z11*100)</f>
        <v>0.10507527379444731</v>
      </c>
      <c r="D31" s="237" t="s">
        <v>754</v>
      </c>
    </row>
    <row r="32" spans="1:18">
      <c r="A32" s="231" t="s">
        <v>260</v>
      </c>
      <c r="B32" s="33">
        <f>IF(ISERROR(TER_rest_ele_kWh/1000),0,TER_rest_ele_kWh/1000)</f>
        <v>8413.3757713130308</v>
      </c>
      <c r="C32" s="39">
        <f>IF(ISERROR(B32*3.6/1000000/'E Balans VL '!Z8*100),0,B32*3.6/1000000/'E Balans VL '!Z8*100)</f>
        <v>6.9230914976787974E-2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129464.03534184574</v>
      </c>
      <c r="C5" s="17">
        <f>IF(ISERROR('Eigen informatie GS &amp; warmtenet'!B59),0,'Eigen informatie GS &amp; warmtenet'!B59)</f>
        <v>0</v>
      </c>
      <c r="D5" s="30">
        <f>SUM(D6:D15)</f>
        <v>172817.35179908035</v>
      </c>
      <c r="E5" s="17">
        <f>SUM(E6:E15)</f>
        <v>5537.8965131311597</v>
      </c>
      <c r="F5" s="17">
        <f>SUM(F6:F15)</f>
        <v>18679.570395878211</v>
      </c>
      <c r="G5" s="18"/>
      <c r="H5" s="17"/>
      <c r="I5" s="17"/>
      <c r="J5" s="17">
        <f>SUM(J6:J15)</f>
        <v>166.26709518471628</v>
      </c>
      <c r="K5" s="17"/>
      <c r="L5" s="17"/>
      <c r="M5" s="17"/>
      <c r="N5" s="17">
        <f>SUM(N6:N15)</f>
        <v>15980.527183507005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1674.44001343129</v>
      </c>
      <c r="C8" s="33"/>
      <c r="D8" s="37">
        <f>IF( ISERROR(IND_metaal_Gas_kWH/1000),0,IND_metaal_Gas_kWH/1000)*0.902</f>
        <v>203.20535995856275</v>
      </c>
      <c r="E8" s="33">
        <f>C30*'E Balans VL '!I18/100/3.6*1000000</f>
        <v>15.394858733956223</v>
      </c>
      <c r="F8" s="33">
        <f>C30*'E Balans VL '!L18/100/3.6*1000000+C30*'E Balans VL '!N18/100/3.6*1000000</f>
        <v>157.00672550876493</v>
      </c>
      <c r="G8" s="34"/>
      <c r="H8" s="33"/>
      <c r="I8" s="33"/>
      <c r="J8" s="40">
        <f>C30*'E Balans VL '!D18/100/3.6*1000000+C30*'E Balans VL '!E18/100/3.6*1000000</f>
        <v>0</v>
      </c>
      <c r="K8" s="33"/>
      <c r="L8" s="33"/>
      <c r="M8" s="33"/>
      <c r="N8" s="33">
        <f>C30*'E Balans VL '!Y18/100/3.6*1000000</f>
        <v>23.888653920246234</v>
      </c>
      <c r="O8" s="33"/>
      <c r="P8" s="33"/>
      <c r="R8" s="32"/>
    </row>
    <row r="9" spans="1:18">
      <c r="A9" s="6" t="s">
        <v>33</v>
      </c>
      <c r="B9" s="37">
        <f t="shared" si="0"/>
        <v>9534.1333873638596</v>
      </c>
      <c r="C9" s="33"/>
      <c r="D9" s="37">
        <f>IF( ISERROR(IND_andere_gas_kWh/1000),0,IND_andere_gas_kWh/1000)*0.902</f>
        <v>1564.2761728068258</v>
      </c>
      <c r="E9" s="33">
        <f>C31*'E Balans VL '!I19/100/3.6*1000000</f>
        <v>2787.0127968112074</v>
      </c>
      <c r="F9" s="33">
        <f>C31*'E Balans VL '!L19/100/3.6*1000000+C31*'E Balans VL '!N19/100/3.6*1000000</f>
        <v>7661.3978443331926</v>
      </c>
      <c r="G9" s="34"/>
      <c r="H9" s="33"/>
      <c r="I9" s="33"/>
      <c r="J9" s="40">
        <f>C31*'E Balans VL '!D19/100/3.6*1000000+C31*'E Balans VL '!E19/100/3.6*1000000</f>
        <v>0</v>
      </c>
      <c r="K9" s="33"/>
      <c r="L9" s="33"/>
      <c r="M9" s="33"/>
      <c r="N9" s="33">
        <f>C31*'E Balans VL '!Y19/100/3.6*1000000</f>
        <v>3150.2255351102958</v>
      </c>
      <c r="O9" s="33"/>
      <c r="P9" s="33"/>
      <c r="R9" s="32"/>
    </row>
    <row r="10" spans="1:18">
      <c r="A10" s="6" t="s">
        <v>41</v>
      </c>
      <c r="B10" s="37">
        <f t="shared" si="0"/>
        <v>16735.866270700102</v>
      </c>
      <c r="C10" s="33"/>
      <c r="D10" s="37">
        <f>IF( ISERROR(IND_voed_gas_kWh/1000),0,IND_voed_gas_kWh/1000)*0.902</f>
        <v>31212.286361846825</v>
      </c>
      <c r="E10" s="33">
        <f>C32*'E Balans VL '!I20/100/3.6*1000000</f>
        <v>35.404984588345989</v>
      </c>
      <c r="F10" s="33">
        <f>C32*'E Balans VL '!L20/100/3.6*1000000+C32*'E Balans VL '!N20/100/3.6*1000000</f>
        <v>1064.0834726771993</v>
      </c>
      <c r="G10" s="34"/>
      <c r="H10" s="33"/>
      <c r="I10" s="33"/>
      <c r="J10" s="40">
        <f>C32*'E Balans VL '!D20/100/3.6*1000000+C32*'E Balans VL '!E20/100/3.6*1000000</f>
        <v>0</v>
      </c>
      <c r="K10" s="33"/>
      <c r="L10" s="33"/>
      <c r="M10" s="33"/>
      <c r="N10" s="33">
        <f>C32*'E Balans VL '!Y20/100/3.6*1000000</f>
        <v>1154.9399262421246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33.386701981481799</v>
      </c>
      <c r="C12" s="33"/>
      <c r="D12" s="37">
        <f>IF( ISERROR(IND_min_gas_kWh/1000),0,IND_min_gas_kWh/1000)*0.902</f>
        <v>125.24884257608342</v>
      </c>
      <c r="E12" s="33">
        <f>C34*'E Balans VL '!I22/100/3.6*1000000</f>
        <v>0.96774301521795469</v>
      </c>
      <c r="F12" s="33">
        <f>C34*'E Balans VL '!L22/100/3.6*1000000+C34*'E Balans VL '!N22/100/3.6*1000000</f>
        <v>11.478725419374264</v>
      </c>
      <c r="G12" s="34"/>
      <c r="H12" s="33"/>
      <c r="I12" s="33"/>
      <c r="J12" s="40">
        <f>C34*'E Balans VL '!D22/100/3.6*1000000+C34*'E Balans VL '!E22/100/3.6*1000000</f>
        <v>5.486441228814469E-2</v>
      </c>
      <c r="K12" s="33"/>
      <c r="L12" s="33"/>
      <c r="M12" s="33"/>
      <c r="N12" s="33">
        <f>C34*'E Balans VL '!Y22/100/3.6*1000000</f>
        <v>7.3088977171450589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55057.964936348202</v>
      </c>
      <c r="C14" s="33"/>
      <c r="D14" s="37">
        <f>IF( ISERROR(IND_chemie_gas_kWh/1000),0,IND_chemie_gas_kWh/1000)*0.902</f>
        <v>106560.70839090928</v>
      </c>
      <c r="E14" s="33">
        <f>C36*'E Balans VL '!I24/100/3.6*1000000</f>
        <v>135.53693453091745</v>
      </c>
      <c r="F14" s="33">
        <f>C36*'E Balans VL '!L24/100/3.6*1000000+C36*'E Balans VL '!N24/100/3.6*1000000</f>
        <v>589.5581062710545</v>
      </c>
      <c r="G14" s="34"/>
      <c r="H14" s="33"/>
      <c r="I14" s="33"/>
      <c r="J14" s="40">
        <f>C36*'E Balans VL '!D24/100/3.6*1000000+C36*'E Balans VL '!E24/100/3.6*1000000</f>
        <v>0</v>
      </c>
      <c r="K14" s="33"/>
      <c r="L14" s="33"/>
      <c r="M14" s="33"/>
      <c r="N14" s="33">
        <f>C36*'E Balans VL '!Y24/100/3.6*1000000</f>
        <v>1229.5802688933943</v>
      </c>
      <c r="O14" s="33"/>
      <c r="P14" s="33"/>
      <c r="R14" s="32"/>
    </row>
    <row r="15" spans="1:18">
      <c r="A15" s="6" t="s">
        <v>270</v>
      </c>
      <c r="B15" s="37">
        <f t="shared" si="0"/>
        <v>46428.244032020797</v>
      </c>
      <c r="C15" s="33"/>
      <c r="D15" s="37">
        <f>IF( ISERROR(IND_rest_gas_kWh/1000),0,IND_rest_gas_kWh/1000)*0.902</f>
        <v>33151.626670982783</v>
      </c>
      <c r="E15" s="33">
        <f>C37*'E Balans VL '!I15/100/3.6*1000000</f>
        <v>2563.5791954515144</v>
      </c>
      <c r="F15" s="33">
        <f>C37*'E Balans VL '!L15/100/3.6*1000000+C37*'E Balans VL '!N15/100/3.6*1000000</f>
        <v>9196.045521668626</v>
      </c>
      <c r="G15" s="34"/>
      <c r="H15" s="33"/>
      <c r="I15" s="33"/>
      <c r="J15" s="40">
        <f>C37*'E Balans VL '!D15/100/3.6*1000000+C37*'E Balans VL '!E15/100/3.6*1000000</f>
        <v>166.21223077242814</v>
      </c>
      <c r="K15" s="33"/>
      <c r="L15" s="33"/>
      <c r="M15" s="33"/>
      <c r="N15" s="33">
        <f>C37*'E Balans VL '!Y15/100/3.6*1000000</f>
        <v>10414.583901623801</v>
      </c>
      <c r="O15" s="33"/>
      <c r="P15" s="33"/>
      <c r="R15" s="32"/>
    </row>
    <row r="16" spans="1:18">
      <c r="A16" s="16" t="s">
        <v>488</v>
      </c>
      <c r="B16" s="247">
        <f>'lokale energieproductie'!N90+'lokale energieproductie'!N59</f>
        <v>14660.999999999998</v>
      </c>
      <c r="C16" s="247">
        <f>'lokale energieproductie'!O90+'lokale energieproductie'!O59</f>
        <v>20944.28571428571</v>
      </c>
      <c r="D16" s="310">
        <f>('lokale energieproductie'!P59+'lokale energieproductie'!P90)*(-1)</f>
        <v>-41888.57142857142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144125.03534184574</v>
      </c>
      <c r="C18" s="21">
        <f>C5+C16</f>
        <v>20944.28571428571</v>
      </c>
      <c r="D18" s="21">
        <f>MAX((D5+D16),0)</f>
        <v>130928.78037050893</v>
      </c>
      <c r="E18" s="21">
        <f>MAX((E5+E16),0)</f>
        <v>5537.8965131311597</v>
      </c>
      <c r="F18" s="21">
        <f>MAX((F5+F16),0)</f>
        <v>18679.570395878211</v>
      </c>
      <c r="G18" s="21"/>
      <c r="H18" s="21"/>
      <c r="I18" s="21"/>
      <c r="J18" s="21">
        <f>MAX((J5+J16),0)</f>
        <v>166.26709518471628</v>
      </c>
      <c r="K18" s="21"/>
      <c r="L18" s="21">
        <f>MAX((L5+L16),0)</f>
        <v>0</v>
      </c>
      <c r="M18" s="21"/>
      <c r="N18" s="21">
        <f>MAX((N5+N16),0)</f>
        <v>15980.527183507005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0.18614512068310118</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26828.172097164097</v>
      </c>
      <c r="C22" s="23">
        <f ca="1">C18*C20</f>
        <v>4977.3478991596621</v>
      </c>
      <c r="D22" s="23">
        <f>D18*D20</f>
        <v>26447.613634842804</v>
      </c>
      <c r="E22" s="23">
        <f>E18*E20</f>
        <v>1257.1025084807734</v>
      </c>
      <c r="F22" s="23">
        <f>F18*F20</f>
        <v>4987.4452956994828</v>
      </c>
      <c r="G22" s="23"/>
      <c r="H22" s="23"/>
      <c r="I22" s="23"/>
      <c r="J22" s="23">
        <f>J18*J20</f>
        <v>58.858551695389558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1674.44001343129</v>
      </c>
      <c r="C30" s="39">
        <f>IF(ISERROR(B30*3.6/1000000/'E Balans VL '!Z18*100),0,B30*3.6/1000000/'E Balans VL '!Z18*100)</f>
        <v>9.4894809106164268E-2</v>
      </c>
      <c r="D30" s="237" t="s">
        <v>754</v>
      </c>
    </row>
    <row r="31" spans="1:18">
      <c r="A31" s="6" t="s">
        <v>33</v>
      </c>
      <c r="B31" s="37">
        <f>IF( ISERROR(IND_ander_ele_kWh/1000),0,IND_ander_ele_kWh/1000)</f>
        <v>9534.1333873638596</v>
      </c>
      <c r="C31" s="39">
        <f>IF(ISERROR(B31*3.6/1000000/'E Balans VL '!Z19*100),0,B31*3.6/1000000/'E Balans VL '!Z19*100)</f>
        <v>0.43242859101035624</v>
      </c>
      <c r="D31" s="237" t="s">
        <v>754</v>
      </c>
    </row>
    <row r="32" spans="1:18">
      <c r="A32" s="171" t="s">
        <v>41</v>
      </c>
      <c r="B32" s="37">
        <f>IF( ISERROR(IND_voed_ele_kWh/1000),0,IND_voed_ele_kWh/1000)</f>
        <v>16735.866270700102</v>
      </c>
      <c r="C32" s="39">
        <f>IF(ISERROR(B32*3.6/1000000/'E Balans VL '!Z20*100),0,B32*3.6/1000000/'E Balans VL '!Z20*100)</f>
        <v>0.51771631817068564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33.386701981481799</v>
      </c>
      <c r="C34" s="39">
        <f>IF(ISERROR(B34*3.6/1000000/'E Balans VL '!Z22*100),0,B34*3.6/1000000/'E Balans VL '!Z22*100)</f>
        <v>6.0052260333633839E-3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55057.964936348202</v>
      </c>
      <c r="C36" s="39">
        <f>IF(ISERROR(B36*3.6/1000000/'E Balans VL '!Z24*100),0,B36*3.6/1000000/'E Balans VL '!Z24*100)</f>
        <v>1.6789389519420668</v>
      </c>
      <c r="D36" s="237" t="s">
        <v>754</v>
      </c>
    </row>
    <row r="37" spans="1:5">
      <c r="A37" s="171" t="s">
        <v>270</v>
      </c>
      <c r="B37" s="37">
        <f>IF( ISERROR(IND_rest_ele_kWh/1000),0,IND_rest_ele_kWh/1000)</f>
        <v>46428.244032020797</v>
      </c>
      <c r="C37" s="39">
        <f>IF(ISERROR(B37*3.6/1000000/'E Balans VL '!Z15*100),0,B37*3.6/1000000/'E Balans VL '!Z15*100)</f>
        <v>0.36800085326024662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803.40447205305304</v>
      </c>
      <c r="C5" s="17">
        <f>'Eigen informatie GS &amp; warmtenet'!B60</f>
        <v>0</v>
      </c>
      <c r="D5" s="30">
        <f>IF(ISERROR(SUM(LB_lb_gas_kWh,LB_rest_gas_kWh)/1000),0,SUM(LB_lb_gas_kWh,LB_rest_gas_kWh)/1000)*0.902</f>
        <v>415.67133236788931</v>
      </c>
      <c r="E5" s="17">
        <f>B17*'E Balans VL '!I25/3.6*1000000/100</f>
        <v>23.614511314127441</v>
      </c>
      <c r="F5" s="17">
        <f>B17*('E Balans VL '!L25/3.6*1000000+'E Balans VL '!N25/3.6*1000000)/100</f>
        <v>3346.9396168740332</v>
      </c>
      <c r="G5" s="18"/>
      <c r="H5" s="17"/>
      <c r="I5" s="17"/>
      <c r="J5" s="17">
        <f>('E Balans VL '!D25+'E Balans VL '!E25)/3.6*1000000*landbouw!B17/100</f>
        <v>116.39605469195338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803.40447205305304</v>
      </c>
      <c r="C8" s="21">
        <f>C5+C6</f>
        <v>0</v>
      </c>
      <c r="D8" s="21">
        <f>MAX((D5+D6),0)</f>
        <v>415.67133236788931</v>
      </c>
      <c r="E8" s="21">
        <f>MAX((E5+E6),0)</f>
        <v>23.614511314127441</v>
      </c>
      <c r="F8" s="21">
        <f>MAX((F5+F6),0)</f>
        <v>3346.9396168740332</v>
      </c>
      <c r="G8" s="21"/>
      <c r="H8" s="21"/>
      <c r="I8" s="21"/>
      <c r="J8" s="21">
        <f>MAX((J5+J6),0)</f>
        <v>116.39605469195338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0.18614512068310118</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149.54982240765875</v>
      </c>
      <c r="C12" s="23">
        <f ca="1">C8*C10</f>
        <v>0</v>
      </c>
      <c r="D12" s="23">
        <f>D8*D10</f>
        <v>83.965609138313638</v>
      </c>
      <c r="E12" s="23">
        <f>E8*E10</f>
        <v>5.3604940683069291</v>
      </c>
      <c r="F12" s="23">
        <f>F8*F10</f>
        <v>893.63287770536692</v>
      </c>
      <c r="G12" s="23"/>
      <c r="H12" s="23"/>
      <c r="I12" s="23"/>
      <c r="J12" s="23">
        <f>J8*J10</f>
        <v>41.204203360951496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0.11400561518898869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100.49056166441194</v>
      </c>
      <c r="C26" s="247">
        <f>B26*'GWP N2O_CH4'!B5</f>
        <v>2110.3017949526507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25.417928836180721</v>
      </c>
      <c r="C27" s="247">
        <f>B27*'GWP N2O_CH4'!B5</f>
        <v>533.77650555979517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2.0497254984931659</v>
      </c>
      <c r="C28" s="247">
        <f>B28*'GWP N2O_CH4'!B4</f>
        <v>635.41490453288145</v>
      </c>
      <c r="D28" s="50"/>
    </row>
    <row r="29" spans="1:4">
      <c r="A29" s="41" t="s">
        <v>277</v>
      </c>
      <c r="B29" s="247">
        <f>B34*'ha_N2O bodem landbouw'!B4</f>
        <v>7.7599929072124603</v>
      </c>
      <c r="C29" s="247">
        <f>B29*'GWP N2O_CH4'!B4</f>
        <v>2405.5978012358628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1.7708036393006461E-3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5.6840815117010341E-4</v>
      </c>
      <c r="C5" s="463" t="s">
        <v>211</v>
      </c>
      <c r="D5" s="448">
        <f>SUM(D6:D11)</f>
        <v>1.941791816323239E-3</v>
      </c>
      <c r="E5" s="448">
        <f>SUM(E6:E11)</f>
        <v>2.7100021963416799E-3</v>
      </c>
      <c r="F5" s="461" t="s">
        <v>211</v>
      </c>
      <c r="G5" s="448">
        <f>SUM(G6:G11)</f>
        <v>1.3101866929469113</v>
      </c>
      <c r="H5" s="448">
        <f>SUM(H6:H11)</f>
        <v>0.22095334080060766</v>
      </c>
      <c r="I5" s="463" t="s">
        <v>211</v>
      </c>
      <c r="J5" s="463" t="s">
        <v>211</v>
      </c>
      <c r="K5" s="463" t="s">
        <v>211</v>
      </c>
      <c r="L5" s="463" t="s">
        <v>211</v>
      </c>
      <c r="M5" s="448">
        <f>SUM(M6:M11)</f>
        <v>8.306704997019726E-2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3.697551908678108E-4</v>
      </c>
      <c r="C6" s="449"/>
      <c r="D6" s="892">
        <f>vkm_2011_GW_PW*SUMIFS(TableVerdeelsleutelVkm[CNG],TableVerdeelsleutelVkm[Voertuigtype],"Lichte voertuigen")*SUMIFS(TableECFTransport[EnergieConsumptieFactor (PJ per km)],TableECFTransport[Index],CONCATENATE($A6,"_CNG_CNG"))</f>
        <v>1.109053352427631E-3</v>
      </c>
      <c r="E6" s="892">
        <f>vkm_2011_GW_PW*SUMIFS(TableVerdeelsleutelVkm[LPG],TableVerdeelsleutelVkm[Voertuigtype],"Lichte voertuigen")*SUMIFS(TableECFTransport[EnergieConsumptieFactor (PJ per km)],TableECFTransport[Index],CONCATENATE($A6,"_LPG_LPG"))</f>
        <v>1.5151261870791791E-3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0.39174217751475116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0.12614205747653248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2.6608511978728811E-2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0.42016737271868204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1.2805847736025835E-4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2.4553163697427344E-2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9.540452379003665E-5</v>
      </c>
      <c r="C8" s="449"/>
      <c r="D8" s="451">
        <f>vkm_2011_NGW_PW*SUMIFS(TableVerdeelsleutelVkm[CNG],TableVerdeelsleutelVkm[Voertuigtype],"Lichte voertuigen")*SUMIFS(TableECFTransport[EnergieConsumptieFactor (PJ per km)],TableECFTransport[Index],CONCATENATE($A8,"_CNG_CNG"))</f>
        <v>5.0879357722010961E-4</v>
      </c>
      <c r="E8" s="451">
        <f>vkm_2011_NGW_PW*SUMIFS(TableVerdeelsleutelVkm[LPG],TableVerdeelsleutelVkm[Voertuigtype],"Lichte voertuigen")*SUMIFS(TableECFTransport[EnergieConsumptieFactor (PJ per km)],TableECFTransport[Index],CONCATENATE($A8,"_LPG_LPG"))</f>
        <v>6.4372768682735353E-4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0.15510304423547833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5.6236396289675923E-2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1.0720721446203127E-2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0.12790935848901158</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3.6700229596143493E-5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7.4745240146903182E-3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1.0324843651225599E-4</v>
      </c>
      <c r="C10" s="449"/>
      <c r="D10" s="451">
        <f>vkm_2011_SW_PW*SUMIFS(TableVerdeelsleutelVkm[CNG],TableVerdeelsleutelVkm[Voertuigtype],"Lichte voertuigen")*SUMIFS(TableECFTransport[EnergieConsumptieFactor (PJ per km)],TableECFTransport[Index],CONCATENATE($A10,"_CNG_CNG"))</f>
        <v>3.239448866754986E-4</v>
      </c>
      <c r="E10" s="451">
        <f>vkm_2011_SW_PW*SUMIFS(TableVerdeelsleutelVkm[LPG],TableVerdeelsleutelVkm[Voertuigtype],"Lichte voertuigen")*SUMIFS(TableECFTransport[EnergieConsumptieFactor (PJ per km)],TableECFTransport[Index],CONCATENATE($A10,"_LPG_LPG"))</f>
        <v>5.5114832243514705E-4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0.12704093705672576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3.8381091356501494E-2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8.5545640908896766E-3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8.8223802932262216E-2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2.9036970941356938E-5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5.1555647422579891E-3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157.89115310280653</v>
      </c>
      <c r="C14" s="21"/>
      <c r="D14" s="21">
        <f t="shared" ref="D14:M14" si="0">((D5)*10^9/3600)+D12</f>
        <v>539.38661564534425</v>
      </c>
      <c r="E14" s="21">
        <f t="shared" si="0"/>
        <v>752.77838787268888</v>
      </c>
      <c r="F14" s="21"/>
      <c r="G14" s="21">
        <f t="shared" si="0"/>
        <v>363940.74804080871</v>
      </c>
      <c r="H14" s="21">
        <f t="shared" si="0"/>
        <v>61375.928000168795</v>
      </c>
      <c r="I14" s="21"/>
      <c r="J14" s="21"/>
      <c r="K14" s="21"/>
      <c r="L14" s="21"/>
      <c r="M14" s="21">
        <f t="shared" si="0"/>
        <v>23074.180547277017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0.18614512068310118</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29.390667749115927</v>
      </c>
      <c r="C18" s="23"/>
      <c r="D18" s="23">
        <f t="shared" ref="D18:M18" si="1">D14*D16</f>
        <v>108.95609636035955</v>
      </c>
      <c r="E18" s="23">
        <f t="shared" si="1"/>
        <v>170.88069404710038</v>
      </c>
      <c r="F18" s="23"/>
      <c r="G18" s="23">
        <f t="shared" si="1"/>
        <v>97172.179726895934</v>
      </c>
      <c r="H18" s="23">
        <f t="shared" si="1"/>
        <v>15282.60607204203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5.569148422188374E-3</v>
      </c>
      <c r="H50" s="321">
        <f t="shared" si="2"/>
        <v>0</v>
      </c>
      <c r="I50" s="321">
        <f t="shared" si="2"/>
        <v>0</v>
      </c>
      <c r="J50" s="321">
        <f t="shared" si="2"/>
        <v>0</v>
      </c>
      <c r="K50" s="321">
        <f t="shared" si="2"/>
        <v>0</v>
      </c>
      <c r="L50" s="321">
        <f t="shared" si="2"/>
        <v>0</v>
      </c>
      <c r="M50" s="321">
        <f t="shared" si="2"/>
        <v>3.1630304494919284E-4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5.569148422188374E-3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3.1630304494919284E-4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1546.985672830104</v>
      </c>
      <c r="H54" s="21">
        <f t="shared" si="3"/>
        <v>0</v>
      </c>
      <c r="I54" s="21">
        <f t="shared" si="3"/>
        <v>0</v>
      </c>
      <c r="J54" s="21">
        <f t="shared" si="3"/>
        <v>0</v>
      </c>
      <c r="K54" s="21">
        <f t="shared" si="3"/>
        <v>0</v>
      </c>
      <c r="L54" s="21">
        <f t="shared" si="3"/>
        <v>0</v>
      </c>
      <c r="M54" s="21">
        <f t="shared" si="3"/>
        <v>87.861956930331345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0.18614512068310118</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413.04517464563781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30890.492264816923</v>
      </c>
      <c r="D10" s="1013">
        <f ca="1">tertiair!C16</f>
        <v>96.428571428571431</v>
      </c>
      <c r="E10" s="1013">
        <f ca="1">tertiair!D16</f>
        <v>32120.240533336353</v>
      </c>
      <c r="F10" s="1013">
        <f>tertiair!E16</f>
        <v>323.45644857037138</v>
      </c>
      <c r="G10" s="1013">
        <f ca="1">tertiair!F16</f>
        <v>5302.0505123709318</v>
      </c>
      <c r="H10" s="1013">
        <f>tertiair!G16</f>
        <v>0</v>
      </c>
      <c r="I10" s="1013">
        <f>tertiair!H16</f>
        <v>0</v>
      </c>
      <c r="J10" s="1013">
        <f>tertiair!I16</f>
        <v>0</v>
      </c>
      <c r="K10" s="1013">
        <f>tertiair!J16</f>
        <v>0.12812442362814364</v>
      </c>
      <c r="L10" s="1013">
        <f>tertiair!K16</f>
        <v>0</v>
      </c>
      <c r="M10" s="1013">
        <f ca="1">tertiair!L16</f>
        <v>0</v>
      </c>
      <c r="N10" s="1013">
        <f>tertiair!M16</f>
        <v>0</v>
      </c>
      <c r="O10" s="1013">
        <f ca="1">tertiair!N16</f>
        <v>5059.7584968378196</v>
      </c>
      <c r="P10" s="1013">
        <f>tertiair!O16</f>
        <v>1.5633333333333335</v>
      </c>
      <c r="Q10" s="1014">
        <f>tertiair!P16</f>
        <v>57.2</v>
      </c>
      <c r="R10" s="700">
        <f ca="1">SUM(C10:Q10)</f>
        <v>73851.318285117944</v>
      </c>
      <c r="S10" s="67"/>
    </row>
    <row r="11" spans="1:19" s="473" customFormat="1">
      <c r="A11" s="809" t="s">
        <v>225</v>
      </c>
      <c r="B11" s="814"/>
      <c r="C11" s="1013">
        <f>huishoudens!B8</f>
        <v>27884.553189840022</v>
      </c>
      <c r="D11" s="1013">
        <f>huishoudens!C8</f>
        <v>0</v>
      </c>
      <c r="E11" s="1013">
        <f>huishoudens!D8</f>
        <v>78467.201132626651</v>
      </c>
      <c r="F11" s="1013">
        <f>huishoudens!E8</f>
        <v>3118.9331123579159</v>
      </c>
      <c r="G11" s="1013">
        <f>huishoudens!F8</f>
        <v>6099.2803327359234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11553.429054984301</v>
      </c>
      <c r="P11" s="1013">
        <f>huishoudens!O8</f>
        <v>325.17333333333335</v>
      </c>
      <c r="Q11" s="1014">
        <f>huishoudens!P8</f>
        <v>915.2</v>
      </c>
      <c r="R11" s="700">
        <f>SUM(C11:Q11)</f>
        <v>128363.77015587816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144125.03534184574</v>
      </c>
      <c r="D13" s="1013">
        <f>industrie!C18</f>
        <v>20944.28571428571</v>
      </c>
      <c r="E13" s="1013">
        <f>industrie!D18</f>
        <v>130928.78037050893</v>
      </c>
      <c r="F13" s="1013">
        <f>industrie!E18</f>
        <v>5537.8965131311597</v>
      </c>
      <c r="G13" s="1013">
        <f>industrie!F18</f>
        <v>18679.570395878211</v>
      </c>
      <c r="H13" s="1013">
        <f>industrie!G18</f>
        <v>0</v>
      </c>
      <c r="I13" s="1013">
        <f>industrie!H18</f>
        <v>0</v>
      </c>
      <c r="J13" s="1013">
        <f>industrie!I18</f>
        <v>0</v>
      </c>
      <c r="K13" s="1013">
        <f>industrie!J18</f>
        <v>166.26709518471628</v>
      </c>
      <c r="L13" s="1013">
        <f>industrie!K18</f>
        <v>0</v>
      </c>
      <c r="M13" s="1013">
        <f>industrie!L18</f>
        <v>0</v>
      </c>
      <c r="N13" s="1013">
        <f>industrie!M18</f>
        <v>0</v>
      </c>
      <c r="O13" s="1013">
        <f>industrie!N18</f>
        <v>15980.527183507005</v>
      </c>
      <c r="P13" s="1013">
        <f>industrie!O18</f>
        <v>0</v>
      </c>
      <c r="Q13" s="1014">
        <f>industrie!P18</f>
        <v>0</v>
      </c>
      <c r="R13" s="700">
        <f>SUM(C13:Q13)</f>
        <v>336362.36261434149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202900.08079650268</v>
      </c>
      <c r="D16" s="732">
        <f t="shared" ref="D16:R16" ca="1" si="0">SUM(D9:D15)</f>
        <v>21040.714285714283</v>
      </c>
      <c r="E16" s="732">
        <f t="shared" ca="1" si="0"/>
        <v>241516.22203647194</v>
      </c>
      <c r="F16" s="732">
        <f t="shared" si="0"/>
        <v>8980.2860740594479</v>
      </c>
      <c r="G16" s="732">
        <f t="shared" ca="1" si="0"/>
        <v>30080.901240985066</v>
      </c>
      <c r="H16" s="732">
        <f t="shared" si="0"/>
        <v>0</v>
      </c>
      <c r="I16" s="732">
        <f t="shared" si="0"/>
        <v>0</v>
      </c>
      <c r="J16" s="732">
        <f t="shared" si="0"/>
        <v>0</v>
      </c>
      <c r="K16" s="732">
        <f t="shared" si="0"/>
        <v>166.39521960834443</v>
      </c>
      <c r="L16" s="732">
        <f t="shared" si="0"/>
        <v>0</v>
      </c>
      <c r="M16" s="732">
        <f t="shared" ca="1" si="0"/>
        <v>0</v>
      </c>
      <c r="N16" s="732">
        <f t="shared" si="0"/>
        <v>0</v>
      </c>
      <c r="O16" s="732">
        <f t="shared" ca="1" si="0"/>
        <v>32593.714735329126</v>
      </c>
      <c r="P16" s="732">
        <f t="shared" si="0"/>
        <v>326.73666666666668</v>
      </c>
      <c r="Q16" s="732">
        <f t="shared" si="0"/>
        <v>972.40000000000009</v>
      </c>
      <c r="R16" s="732">
        <f t="shared" ca="1" si="0"/>
        <v>538577.45105533756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1546.985672830104</v>
      </c>
      <c r="I19" s="1013">
        <f>transport!H54</f>
        <v>0</v>
      </c>
      <c r="J19" s="1013">
        <f>transport!I54</f>
        <v>0</v>
      </c>
      <c r="K19" s="1013">
        <f>transport!J54</f>
        <v>0</v>
      </c>
      <c r="L19" s="1013">
        <f>transport!K54</f>
        <v>0</v>
      </c>
      <c r="M19" s="1013">
        <f>transport!L54</f>
        <v>0</v>
      </c>
      <c r="N19" s="1013">
        <f>transport!M54</f>
        <v>87.861956930331345</v>
      </c>
      <c r="O19" s="1013">
        <f>transport!N54</f>
        <v>0</v>
      </c>
      <c r="P19" s="1013">
        <f>transport!O54</f>
        <v>0</v>
      </c>
      <c r="Q19" s="1014">
        <f>transport!P54</f>
        <v>0</v>
      </c>
      <c r="R19" s="700">
        <f>SUM(C19:Q19)</f>
        <v>1634.8476297604354</v>
      </c>
      <c r="S19" s="67"/>
    </row>
    <row r="20" spans="1:19" s="473" customFormat="1">
      <c r="A20" s="809" t="s">
        <v>307</v>
      </c>
      <c r="B20" s="814"/>
      <c r="C20" s="1013">
        <f>transport!B14</f>
        <v>157.89115310280653</v>
      </c>
      <c r="D20" s="1013">
        <f>transport!C14</f>
        <v>0</v>
      </c>
      <c r="E20" s="1013">
        <f>transport!D14</f>
        <v>539.38661564534425</v>
      </c>
      <c r="F20" s="1013">
        <f>transport!E14</f>
        <v>752.77838787268888</v>
      </c>
      <c r="G20" s="1013">
        <f>transport!F14</f>
        <v>0</v>
      </c>
      <c r="H20" s="1013">
        <f>transport!G14</f>
        <v>363940.74804080871</v>
      </c>
      <c r="I20" s="1013">
        <f>transport!H14</f>
        <v>61375.928000168795</v>
      </c>
      <c r="J20" s="1013">
        <f>transport!I14</f>
        <v>0</v>
      </c>
      <c r="K20" s="1013">
        <f>transport!J14</f>
        <v>0</v>
      </c>
      <c r="L20" s="1013">
        <f>transport!K14</f>
        <v>0</v>
      </c>
      <c r="M20" s="1013">
        <f>transport!L14</f>
        <v>0</v>
      </c>
      <c r="N20" s="1013">
        <f>transport!M14</f>
        <v>23074.180547277017</v>
      </c>
      <c r="O20" s="1013">
        <f>transport!N14</f>
        <v>0</v>
      </c>
      <c r="P20" s="1013">
        <f>transport!O14</f>
        <v>0</v>
      </c>
      <c r="Q20" s="1014">
        <f>transport!P14</f>
        <v>0</v>
      </c>
      <c r="R20" s="700">
        <f>SUM(C20:Q20)</f>
        <v>449840.91274487542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157.89115310280653</v>
      </c>
      <c r="D22" s="812">
        <f t="shared" ref="D22:R22" si="1">SUM(D18:D21)</f>
        <v>0</v>
      </c>
      <c r="E22" s="812">
        <f t="shared" si="1"/>
        <v>539.38661564534425</v>
      </c>
      <c r="F22" s="812">
        <f t="shared" si="1"/>
        <v>752.77838787268888</v>
      </c>
      <c r="G22" s="812">
        <f t="shared" si="1"/>
        <v>0</v>
      </c>
      <c r="H22" s="812">
        <f t="shared" si="1"/>
        <v>365487.73371363879</v>
      </c>
      <c r="I22" s="812">
        <f t="shared" si="1"/>
        <v>61375.928000168795</v>
      </c>
      <c r="J22" s="812">
        <f t="shared" si="1"/>
        <v>0</v>
      </c>
      <c r="K22" s="812">
        <f t="shared" si="1"/>
        <v>0</v>
      </c>
      <c r="L22" s="812">
        <f t="shared" si="1"/>
        <v>0</v>
      </c>
      <c r="M22" s="812">
        <f t="shared" si="1"/>
        <v>0</v>
      </c>
      <c r="N22" s="812">
        <f t="shared" si="1"/>
        <v>23162.042504207348</v>
      </c>
      <c r="O22" s="812">
        <f t="shared" si="1"/>
        <v>0</v>
      </c>
      <c r="P22" s="812">
        <f t="shared" si="1"/>
        <v>0</v>
      </c>
      <c r="Q22" s="812">
        <f t="shared" si="1"/>
        <v>0</v>
      </c>
      <c r="R22" s="812">
        <f t="shared" si="1"/>
        <v>451475.76037463587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803.40447205305304</v>
      </c>
      <c r="D24" s="1013">
        <f>+landbouw!C8</f>
        <v>0</v>
      </c>
      <c r="E24" s="1013">
        <f>+landbouw!D8</f>
        <v>415.67133236788931</v>
      </c>
      <c r="F24" s="1013">
        <f>+landbouw!E8</f>
        <v>23.614511314127441</v>
      </c>
      <c r="G24" s="1013">
        <f>+landbouw!F8</f>
        <v>3346.9396168740332</v>
      </c>
      <c r="H24" s="1013">
        <f>+landbouw!G8</f>
        <v>0</v>
      </c>
      <c r="I24" s="1013">
        <f>+landbouw!H8</f>
        <v>0</v>
      </c>
      <c r="J24" s="1013">
        <f>+landbouw!I8</f>
        <v>0</v>
      </c>
      <c r="K24" s="1013">
        <f>+landbouw!J8</f>
        <v>116.39605469195338</v>
      </c>
      <c r="L24" s="1013">
        <f>+landbouw!K8</f>
        <v>0</v>
      </c>
      <c r="M24" s="1013">
        <f>+landbouw!L8</f>
        <v>0</v>
      </c>
      <c r="N24" s="1013">
        <f>+landbouw!M8</f>
        <v>0</v>
      </c>
      <c r="O24" s="1013">
        <f>+landbouw!N8</f>
        <v>0</v>
      </c>
      <c r="P24" s="1013">
        <f>+landbouw!O8</f>
        <v>0</v>
      </c>
      <c r="Q24" s="1014">
        <f>+landbouw!P8</f>
        <v>0</v>
      </c>
      <c r="R24" s="700">
        <f>SUM(C24:Q24)</f>
        <v>4706.0259873010564</v>
      </c>
      <c r="S24" s="67"/>
    </row>
    <row r="25" spans="1:19" s="473" customFormat="1" ht="15" thickBot="1">
      <c r="A25" s="831" t="s">
        <v>836</v>
      </c>
      <c r="B25" s="1016"/>
      <c r="C25" s="1017">
        <f>IF(Onbekend_ele_kWh="---",0,Onbekend_ele_kWh)/1000+IF(REST_rest_ele_kWh="---",0,REST_rest_ele_kWh)/1000</f>
        <v>829.03891601699104</v>
      </c>
      <c r="D25" s="1017"/>
      <c r="E25" s="1017">
        <f>IF(onbekend_gas_kWh="---",0,onbekend_gas_kWh)/1000+IF(REST_rest_gas_kWh="---",0,REST_rest_gas_kWh)/1000</f>
        <v>1577.5906504454899</v>
      </c>
      <c r="F25" s="1017"/>
      <c r="G25" s="1017"/>
      <c r="H25" s="1017"/>
      <c r="I25" s="1017"/>
      <c r="J25" s="1017"/>
      <c r="K25" s="1017"/>
      <c r="L25" s="1017"/>
      <c r="M25" s="1017"/>
      <c r="N25" s="1017"/>
      <c r="O25" s="1017"/>
      <c r="P25" s="1017"/>
      <c r="Q25" s="1018"/>
      <c r="R25" s="700">
        <f>SUM(C25:Q25)</f>
        <v>2406.6295664624809</v>
      </c>
      <c r="S25" s="67"/>
    </row>
    <row r="26" spans="1:19" s="473" customFormat="1" ht="15.75" thickBot="1">
      <c r="A26" s="705" t="s">
        <v>837</v>
      </c>
      <c r="B26" s="817"/>
      <c r="C26" s="812">
        <f>SUM(C24:C25)</f>
        <v>1632.443388070044</v>
      </c>
      <c r="D26" s="812">
        <f t="shared" ref="D26:R26" si="2">SUM(D24:D25)</f>
        <v>0</v>
      </c>
      <c r="E26" s="812">
        <f t="shared" si="2"/>
        <v>1993.2619828133793</v>
      </c>
      <c r="F26" s="812">
        <f t="shared" si="2"/>
        <v>23.614511314127441</v>
      </c>
      <c r="G26" s="812">
        <f t="shared" si="2"/>
        <v>3346.9396168740332</v>
      </c>
      <c r="H26" s="812">
        <f t="shared" si="2"/>
        <v>0</v>
      </c>
      <c r="I26" s="812">
        <f t="shared" si="2"/>
        <v>0</v>
      </c>
      <c r="J26" s="812">
        <f t="shared" si="2"/>
        <v>0</v>
      </c>
      <c r="K26" s="812">
        <f t="shared" si="2"/>
        <v>116.39605469195338</v>
      </c>
      <c r="L26" s="812">
        <f t="shared" si="2"/>
        <v>0</v>
      </c>
      <c r="M26" s="812">
        <f t="shared" si="2"/>
        <v>0</v>
      </c>
      <c r="N26" s="812">
        <f t="shared" si="2"/>
        <v>0</v>
      </c>
      <c r="O26" s="812">
        <f t="shared" si="2"/>
        <v>0</v>
      </c>
      <c r="P26" s="812">
        <f t="shared" si="2"/>
        <v>0</v>
      </c>
      <c r="Q26" s="812">
        <f t="shared" si="2"/>
        <v>0</v>
      </c>
      <c r="R26" s="812">
        <f t="shared" si="2"/>
        <v>7112.6555537635377</v>
      </c>
      <c r="S26" s="67"/>
    </row>
    <row r="27" spans="1:19" s="473" customFormat="1" ht="17.25" thickTop="1" thickBot="1">
      <c r="A27" s="706" t="s">
        <v>116</v>
      </c>
      <c r="B27" s="805"/>
      <c r="C27" s="707">
        <f ca="1">C22+C16+C26</f>
        <v>204690.41533767551</v>
      </c>
      <c r="D27" s="707">
        <f t="shared" ref="D27:R27" ca="1" si="3">D22+D16+D26</f>
        <v>21040.714285714283</v>
      </c>
      <c r="E27" s="707">
        <f t="shared" ca="1" si="3"/>
        <v>244048.87063493067</v>
      </c>
      <c r="F27" s="707">
        <f t="shared" si="3"/>
        <v>9756.6789732462657</v>
      </c>
      <c r="G27" s="707">
        <f t="shared" ca="1" si="3"/>
        <v>33427.840857859097</v>
      </c>
      <c r="H27" s="707">
        <f t="shared" si="3"/>
        <v>365487.73371363879</v>
      </c>
      <c r="I27" s="707">
        <f t="shared" si="3"/>
        <v>61375.928000168795</v>
      </c>
      <c r="J27" s="707">
        <f t="shared" si="3"/>
        <v>0</v>
      </c>
      <c r="K27" s="707">
        <f t="shared" si="3"/>
        <v>282.7912743002978</v>
      </c>
      <c r="L27" s="707">
        <f t="shared" si="3"/>
        <v>0</v>
      </c>
      <c r="M27" s="707">
        <f t="shared" ca="1" si="3"/>
        <v>0</v>
      </c>
      <c r="N27" s="707">
        <f t="shared" si="3"/>
        <v>23162.042504207348</v>
      </c>
      <c r="O27" s="707">
        <f t="shared" ca="1" si="3"/>
        <v>32593.714735329126</v>
      </c>
      <c r="P27" s="707">
        <f t="shared" si="3"/>
        <v>326.73666666666668</v>
      </c>
      <c r="Q27" s="707">
        <f t="shared" si="3"/>
        <v>972.40000000000009</v>
      </c>
      <c r="R27" s="707">
        <f t="shared" ca="1" si="3"/>
        <v>997165.86698373687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5750.1144105947496</v>
      </c>
      <c r="D40" s="1013">
        <f ca="1">tertiair!C20</f>
        <v>22.915966386554619</v>
      </c>
      <c r="E40" s="1013">
        <f ca="1">tertiair!D20</f>
        <v>6488.288587733944</v>
      </c>
      <c r="F40" s="1013">
        <f>tertiair!E20</f>
        <v>73.42461382547431</v>
      </c>
      <c r="G40" s="1013">
        <f ca="1">tertiair!F20</f>
        <v>1415.6474868030389</v>
      </c>
      <c r="H40" s="1013">
        <f>tertiair!G20</f>
        <v>0</v>
      </c>
      <c r="I40" s="1013">
        <f>tertiair!H20</f>
        <v>0</v>
      </c>
      <c r="J40" s="1013">
        <f>tertiair!I20</f>
        <v>0</v>
      </c>
      <c r="K40" s="1013">
        <f>tertiair!J20</f>
        <v>4.5356045964362844E-2</v>
      </c>
      <c r="L40" s="1013">
        <f>tertiair!K20</f>
        <v>0</v>
      </c>
      <c r="M40" s="1013">
        <f ca="1">tertiair!L20</f>
        <v>0</v>
      </c>
      <c r="N40" s="1013">
        <f>tertiair!M20</f>
        <v>0</v>
      </c>
      <c r="O40" s="1013">
        <f ca="1">tertiair!N20</f>
        <v>0</v>
      </c>
      <c r="P40" s="1013">
        <f>tertiair!O20</f>
        <v>0</v>
      </c>
      <c r="Q40" s="774">
        <f>tertiair!P20</f>
        <v>0</v>
      </c>
      <c r="R40" s="850">
        <f t="shared" ca="1" si="4"/>
        <v>13750.436421389726</v>
      </c>
    </row>
    <row r="41" spans="1:18">
      <c r="A41" s="822" t="s">
        <v>225</v>
      </c>
      <c r="B41" s="829"/>
      <c r="C41" s="1013">
        <f ca="1">huishoudens!B12</f>
        <v>5190.5735187171249</v>
      </c>
      <c r="D41" s="1013">
        <f ca="1">huishoudens!C12</f>
        <v>0</v>
      </c>
      <c r="E41" s="1013">
        <f>huishoudens!D12</f>
        <v>15850.374628790585</v>
      </c>
      <c r="F41" s="1013">
        <f>huishoudens!E12</f>
        <v>707.99781650524687</v>
      </c>
      <c r="G41" s="1013">
        <f>huishoudens!F12</f>
        <v>1628.5078488404915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23377.453812853448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26828.172097164097</v>
      </c>
      <c r="D43" s="1013">
        <f ca="1">industrie!C22</f>
        <v>4977.3478991596621</v>
      </c>
      <c r="E43" s="1013">
        <f>industrie!D22</f>
        <v>26447.613634842804</v>
      </c>
      <c r="F43" s="1013">
        <f>industrie!E22</f>
        <v>1257.1025084807734</v>
      </c>
      <c r="G43" s="1013">
        <f>industrie!F22</f>
        <v>4987.4452956994828</v>
      </c>
      <c r="H43" s="1013">
        <f>industrie!G22</f>
        <v>0</v>
      </c>
      <c r="I43" s="1013">
        <f>industrie!H22</f>
        <v>0</v>
      </c>
      <c r="J43" s="1013">
        <f>industrie!I22</f>
        <v>0</v>
      </c>
      <c r="K43" s="1013">
        <f>industrie!J22</f>
        <v>58.858551695389558</v>
      </c>
      <c r="L43" s="1013">
        <f>industrie!K22</f>
        <v>0</v>
      </c>
      <c r="M43" s="1013">
        <f>industrie!L22</f>
        <v>0</v>
      </c>
      <c r="N43" s="1013">
        <f>industrie!M22</f>
        <v>0</v>
      </c>
      <c r="O43" s="1013">
        <f>industrie!N22</f>
        <v>0</v>
      </c>
      <c r="P43" s="1013">
        <f>industrie!O22</f>
        <v>0</v>
      </c>
      <c r="Q43" s="774">
        <f>industrie!P22</f>
        <v>0</v>
      </c>
      <c r="R43" s="849">
        <f t="shared" ca="1" si="4"/>
        <v>64556.539987042212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37768.860026475973</v>
      </c>
      <c r="D46" s="732">
        <f t="shared" ref="D46:Q46" ca="1" si="5">SUM(D39:D45)</f>
        <v>5000.2638655462169</v>
      </c>
      <c r="E46" s="732">
        <f t="shared" ca="1" si="5"/>
        <v>48786.276851367336</v>
      </c>
      <c r="F46" s="732">
        <f t="shared" si="5"/>
        <v>2038.5249388114946</v>
      </c>
      <c r="G46" s="732">
        <f t="shared" ca="1" si="5"/>
        <v>8031.6006313430134</v>
      </c>
      <c r="H46" s="732">
        <f t="shared" si="5"/>
        <v>0</v>
      </c>
      <c r="I46" s="732">
        <f t="shared" si="5"/>
        <v>0</v>
      </c>
      <c r="J46" s="732">
        <f t="shared" si="5"/>
        <v>0</v>
      </c>
      <c r="K46" s="732">
        <f t="shared" si="5"/>
        <v>58.903907741353919</v>
      </c>
      <c r="L46" s="732">
        <f t="shared" si="5"/>
        <v>0</v>
      </c>
      <c r="M46" s="732">
        <f t="shared" ca="1" si="5"/>
        <v>0</v>
      </c>
      <c r="N46" s="732">
        <f t="shared" si="5"/>
        <v>0</v>
      </c>
      <c r="O46" s="732">
        <f t="shared" ca="1" si="5"/>
        <v>0</v>
      </c>
      <c r="P46" s="732">
        <f t="shared" si="5"/>
        <v>0</v>
      </c>
      <c r="Q46" s="732">
        <f t="shared" si="5"/>
        <v>0</v>
      </c>
      <c r="R46" s="732">
        <f ca="1">SUM(R39:R45)</f>
        <v>101684.43022128538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413.04517464563781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413.04517464563781</v>
      </c>
    </row>
    <row r="50" spans="1:18">
      <c r="A50" s="825" t="s">
        <v>307</v>
      </c>
      <c r="B50" s="835"/>
      <c r="C50" s="703">
        <f ca="1">transport!B18</f>
        <v>29.390667749115927</v>
      </c>
      <c r="D50" s="703">
        <f>transport!C18</f>
        <v>0</v>
      </c>
      <c r="E50" s="703">
        <f>transport!D18</f>
        <v>108.95609636035955</v>
      </c>
      <c r="F50" s="703">
        <f>transport!E18</f>
        <v>170.88069404710038</v>
      </c>
      <c r="G50" s="703">
        <f>transport!F18</f>
        <v>0</v>
      </c>
      <c r="H50" s="703">
        <f>transport!G18</f>
        <v>97172.179726895934</v>
      </c>
      <c r="I50" s="703">
        <f>transport!H18</f>
        <v>15282.60607204203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112764.01325709454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29.390667749115927</v>
      </c>
      <c r="D52" s="732">
        <f t="shared" ref="D52:Q52" ca="1" si="6">SUM(D48:D51)</f>
        <v>0</v>
      </c>
      <c r="E52" s="732">
        <f t="shared" si="6"/>
        <v>108.95609636035955</v>
      </c>
      <c r="F52" s="732">
        <f t="shared" si="6"/>
        <v>170.88069404710038</v>
      </c>
      <c r="G52" s="732">
        <f t="shared" si="6"/>
        <v>0</v>
      </c>
      <c r="H52" s="732">
        <f t="shared" si="6"/>
        <v>97585.224901541573</v>
      </c>
      <c r="I52" s="732">
        <f t="shared" si="6"/>
        <v>15282.60607204203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113177.05843174018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149.54982240765875</v>
      </c>
      <c r="D54" s="703">
        <f ca="1">+landbouw!C12</f>
        <v>0</v>
      </c>
      <c r="E54" s="703">
        <f>+landbouw!D12</f>
        <v>83.965609138313638</v>
      </c>
      <c r="F54" s="703">
        <f>+landbouw!E12</f>
        <v>5.3604940683069291</v>
      </c>
      <c r="G54" s="703">
        <f>+landbouw!F12</f>
        <v>893.63287770536692</v>
      </c>
      <c r="H54" s="703">
        <f>+landbouw!G12</f>
        <v>0</v>
      </c>
      <c r="I54" s="703">
        <f>+landbouw!H12</f>
        <v>0</v>
      </c>
      <c r="J54" s="703">
        <f>+landbouw!I12</f>
        <v>0</v>
      </c>
      <c r="K54" s="703">
        <f>+landbouw!J12</f>
        <v>41.204203360951496</v>
      </c>
      <c r="L54" s="703">
        <f>+landbouw!K12</f>
        <v>0</v>
      </c>
      <c r="M54" s="703">
        <f>+landbouw!L12</f>
        <v>0</v>
      </c>
      <c r="N54" s="703">
        <f>+landbouw!M12</f>
        <v>0</v>
      </c>
      <c r="O54" s="703">
        <f>+landbouw!N12</f>
        <v>0</v>
      </c>
      <c r="P54" s="703">
        <f>+landbouw!O12</f>
        <v>0</v>
      </c>
      <c r="Q54" s="704">
        <f>+landbouw!P12</f>
        <v>0</v>
      </c>
      <c r="R54" s="731">
        <f ca="1">SUM(C54:Q54)</f>
        <v>1173.7130066805976</v>
      </c>
    </row>
    <row r="55" spans="1:18" ht="15" thickBot="1">
      <c r="A55" s="825" t="s">
        <v>836</v>
      </c>
      <c r="B55" s="835"/>
      <c r="C55" s="703">
        <f ca="1">C25*'EF ele_warmte'!B12</f>
        <v>154.32154907297019</v>
      </c>
      <c r="D55" s="703"/>
      <c r="E55" s="703">
        <f>E25*EF_CO2_aardgas</f>
        <v>318.67331138998901</v>
      </c>
      <c r="F55" s="703"/>
      <c r="G55" s="703"/>
      <c r="H55" s="703"/>
      <c r="I55" s="703"/>
      <c r="J55" s="703"/>
      <c r="K55" s="703"/>
      <c r="L55" s="703"/>
      <c r="M55" s="703"/>
      <c r="N55" s="703"/>
      <c r="O55" s="703"/>
      <c r="P55" s="703"/>
      <c r="Q55" s="704"/>
      <c r="R55" s="731">
        <f ca="1">SUM(C55:Q55)</f>
        <v>472.9948604629592</v>
      </c>
    </row>
    <row r="56" spans="1:18" ht="15.75" thickBot="1">
      <c r="A56" s="823" t="s">
        <v>837</v>
      </c>
      <c r="B56" s="836"/>
      <c r="C56" s="732">
        <f ca="1">SUM(C54:C55)</f>
        <v>303.87137148062891</v>
      </c>
      <c r="D56" s="732">
        <f t="shared" ref="D56:Q56" ca="1" si="7">SUM(D54:D55)</f>
        <v>0</v>
      </c>
      <c r="E56" s="732">
        <f t="shared" si="7"/>
        <v>402.63892052830266</v>
      </c>
      <c r="F56" s="732">
        <f t="shared" si="7"/>
        <v>5.3604940683069291</v>
      </c>
      <c r="G56" s="732">
        <f t="shared" si="7"/>
        <v>893.63287770536692</v>
      </c>
      <c r="H56" s="732">
        <f t="shared" si="7"/>
        <v>0</v>
      </c>
      <c r="I56" s="732">
        <f t="shared" si="7"/>
        <v>0</v>
      </c>
      <c r="J56" s="732">
        <f t="shared" si="7"/>
        <v>0</v>
      </c>
      <c r="K56" s="732">
        <f t="shared" si="7"/>
        <v>41.204203360951496</v>
      </c>
      <c r="L56" s="732">
        <f t="shared" si="7"/>
        <v>0</v>
      </c>
      <c r="M56" s="732">
        <f t="shared" si="7"/>
        <v>0</v>
      </c>
      <c r="N56" s="732">
        <f t="shared" si="7"/>
        <v>0</v>
      </c>
      <c r="O56" s="732">
        <f t="shared" si="7"/>
        <v>0</v>
      </c>
      <c r="P56" s="732">
        <f t="shared" si="7"/>
        <v>0</v>
      </c>
      <c r="Q56" s="733">
        <f t="shared" si="7"/>
        <v>0</v>
      </c>
      <c r="R56" s="734">
        <f ca="1">SUM(R54:R55)</f>
        <v>1646.7078671435568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38102.12206570572</v>
      </c>
      <c r="D61" s="740">
        <f t="shared" ref="D61:Q61" ca="1" si="8">D46+D52+D56</f>
        <v>5000.2638655462169</v>
      </c>
      <c r="E61" s="740">
        <f t="shared" ca="1" si="8"/>
        <v>49297.871868255999</v>
      </c>
      <c r="F61" s="740">
        <f t="shared" si="8"/>
        <v>2214.7661269269015</v>
      </c>
      <c r="G61" s="740">
        <f t="shared" ca="1" si="8"/>
        <v>8925.2335090483812</v>
      </c>
      <c r="H61" s="740">
        <f t="shared" si="8"/>
        <v>97585.224901541573</v>
      </c>
      <c r="I61" s="740">
        <f t="shared" si="8"/>
        <v>15282.60607204203</v>
      </c>
      <c r="J61" s="740">
        <f t="shared" si="8"/>
        <v>0</v>
      </c>
      <c r="K61" s="740">
        <f t="shared" si="8"/>
        <v>100.10811110230541</v>
      </c>
      <c r="L61" s="740">
        <f t="shared" si="8"/>
        <v>0</v>
      </c>
      <c r="M61" s="740">
        <f t="shared" ca="1" si="8"/>
        <v>0</v>
      </c>
      <c r="N61" s="740">
        <f t="shared" si="8"/>
        <v>0</v>
      </c>
      <c r="O61" s="740">
        <f t="shared" ca="1" si="8"/>
        <v>0</v>
      </c>
      <c r="P61" s="740">
        <f t="shared" si="8"/>
        <v>0</v>
      </c>
      <c r="Q61" s="740">
        <f t="shared" si="8"/>
        <v>0</v>
      </c>
      <c r="R61" s="740">
        <f ca="1">R46+R52+R56</f>
        <v>216508.19652016912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0.18614512068310121</v>
      </c>
      <c r="D63" s="781">
        <f t="shared" ca="1" si="9"/>
        <v>0.23764705882352938</v>
      </c>
      <c r="E63" s="1024">
        <f t="shared" ca="1" si="9"/>
        <v>0.20200000000000001</v>
      </c>
      <c r="F63" s="781">
        <f t="shared" si="9"/>
        <v>0.22699999999999992</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23769.784128513922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9622.2789022685865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14728.499999999998</v>
      </c>
      <c r="D76" s="1034">
        <f>'lokale energieproductie'!C8</f>
        <v>17327.647058823524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3500.1847058823523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33392.063030782505</v>
      </c>
      <c r="C78" s="755">
        <f>SUM(C72:C77)</f>
        <v>14728.499999999998</v>
      </c>
      <c r="D78" s="756">
        <f t="shared" ref="D78:H78" si="10">SUM(D76:D77)</f>
        <v>17327.647058823524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3500.1847058823523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21040.714285714283</v>
      </c>
      <c r="D87" s="777">
        <f>'lokale energieproductie'!C17</f>
        <v>24753.781512605034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5000.2638655462169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21040.714285714283</v>
      </c>
      <c r="D90" s="755">
        <f t="shared" ref="D90:H90" si="12">SUM(D87:D89)</f>
        <v>24753.781512605034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5000.2638655462169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23769.784128513922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9622.2789022685865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14728.499999999998</v>
      </c>
      <c r="C8" s="570">
        <f>B101</f>
        <v>17327.647058823524</v>
      </c>
      <c r="D8" s="1044"/>
      <c r="E8" s="1044">
        <f>E101</f>
        <v>0</v>
      </c>
      <c r="F8" s="1045"/>
      <c r="G8" s="571"/>
      <c r="H8" s="1044">
        <f>I101</f>
        <v>0</v>
      </c>
      <c r="I8" s="1044">
        <f>G101+F101</f>
        <v>0</v>
      </c>
      <c r="J8" s="1044">
        <f>H101+D101+C101</f>
        <v>0</v>
      </c>
      <c r="K8" s="1044"/>
      <c r="L8" s="1044"/>
      <c r="M8" s="1044"/>
      <c r="N8" s="572"/>
      <c r="O8" s="573">
        <f>C8*$C$12+D8*$D$12+E8*$E$12+F8*$F$12+G8*$G$12+H8*$H$12+I8*$I$12+J8*$J$12</f>
        <v>3500.1847058823523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48120.563030782505</v>
      </c>
      <c r="C10" s="583">
        <f t="shared" ref="C10:L10" si="0">SUM(C8:C9)</f>
        <v>17327.647058823524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3500.1847058823523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21040.714285714283</v>
      </c>
      <c r="C17" s="595">
        <f>B102</f>
        <v>24753.781512605034</v>
      </c>
      <c r="D17" s="596"/>
      <c r="E17" s="596">
        <f>E102</f>
        <v>0</v>
      </c>
      <c r="F17" s="1050"/>
      <c r="G17" s="597"/>
      <c r="H17" s="595">
        <f>I102</f>
        <v>0</v>
      </c>
      <c r="I17" s="596">
        <f>G102+F102</f>
        <v>0</v>
      </c>
      <c r="J17" s="596">
        <f>H102+D102+C102</f>
        <v>0</v>
      </c>
      <c r="K17" s="596"/>
      <c r="L17" s="596"/>
      <c r="M17" s="596"/>
      <c r="N17" s="1051"/>
      <c r="O17" s="598">
        <f>C17*$C$22+E17*$E$22+H17*$H$22+I17*$I$22+J17*$J$22+D17*$D$22+F17*$F$22+G17*$G$22+K17*$K$22+L17*$L$22</f>
        <v>5000.2638655462169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21040.714285714283</v>
      </c>
      <c r="C20" s="582">
        <f>SUM(C17:C19)</f>
        <v>24753.781512605034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5000.2638655462169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12030</v>
      </c>
      <c r="C28" s="796">
        <v>2870</v>
      </c>
      <c r="D28" s="653" t="s">
        <v>881</v>
      </c>
      <c r="E28" s="652" t="s">
        <v>882</v>
      </c>
      <c r="F28" s="652" t="s">
        <v>883</v>
      </c>
      <c r="G28" s="652" t="s">
        <v>884</v>
      </c>
      <c r="H28" s="652" t="s">
        <v>885</v>
      </c>
      <c r="I28" s="652" t="s">
        <v>882</v>
      </c>
      <c r="J28" s="795">
        <v>39510</v>
      </c>
      <c r="K28" s="795">
        <v>39513</v>
      </c>
      <c r="L28" s="652" t="s">
        <v>886</v>
      </c>
      <c r="M28" s="652">
        <v>2014</v>
      </c>
      <c r="N28" s="652">
        <v>9062.9999999999982</v>
      </c>
      <c r="O28" s="652">
        <v>12947.142857142855</v>
      </c>
      <c r="P28" s="652">
        <v>25894.28571428571</v>
      </c>
      <c r="Q28" s="652">
        <v>0</v>
      </c>
      <c r="R28" s="652">
        <v>0</v>
      </c>
      <c r="S28" s="652">
        <v>0</v>
      </c>
      <c r="T28" s="652">
        <v>0</v>
      </c>
      <c r="U28" s="652">
        <v>0</v>
      </c>
      <c r="V28" s="652">
        <v>0</v>
      </c>
      <c r="W28" s="652">
        <v>0</v>
      </c>
      <c r="X28" s="652">
        <v>300</v>
      </c>
      <c r="Y28" s="652" t="s">
        <v>34</v>
      </c>
      <c r="Z28" s="654" t="s">
        <v>389</v>
      </c>
    </row>
    <row r="29" spans="1:26" s="606" customFormat="1" ht="25.5">
      <c r="A29" s="605"/>
      <c r="B29" s="796">
        <v>12030</v>
      </c>
      <c r="C29" s="796">
        <v>2870</v>
      </c>
      <c r="D29" s="653" t="s">
        <v>887</v>
      </c>
      <c r="E29" s="652" t="s">
        <v>888</v>
      </c>
      <c r="F29" s="652" t="s">
        <v>889</v>
      </c>
      <c r="G29" s="652" t="s">
        <v>884</v>
      </c>
      <c r="H29" s="652" t="s">
        <v>885</v>
      </c>
      <c r="I29" s="652" t="s">
        <v>888</v>
      </c>
      <c r="J29" s="795">
        <v>40934</v>
      </c>
      <c r="K29" s="795">
        <v>40934</v>
      </c>
      <c r="L29" s="652" t="s">
        <v>886</v>
      </c>
      <c r="M29" s="652">
        <v>1189</v>
      </c>
      <c r="N29" s="652">
        <v>5350.5</v>
      </c>
      <c r="O29" s="652">
        <v>7643.5714285714284</v>
      </c>
      <c r="P29" s="652">
        <v>15287.142857142859</v>
      </c>
      <c r="Q29" s="652">
        <v>0</v>
      </c>
      <c r="R29" s="652">
        <v>0</v>
      </c>
      <c r="S29" s="652">
        <v>0</v>
      </c>
      <c r="T29" s="652">
        <v>0</v>
      </c>
      <c r="U29" s="652">
        <v>0</v>
      </c>
      <c r="V29" s="652">
        <v>0</v>
      </c>
      <c r="W29" s="652">
        <v>0</v>
      </c>
      <c r="X29" s="652">
        <v>300</v>
      </c>
      <c r="Y29" s="652" t="s">
        <v>890</v>
      </c>
      <c r="Z29" s="654" t="s">
        <v>389</v>
      </c>
    </row>
    <row r="30" spans="1:26" s="606" customFormat="1" ht="25.5">
      <c r="A30" s="605"/>
      <c r="B30" s="796">
        <v>12030</v>
      </c>
      <c r="C30" s="796">
        <v>2870</v>
      </c>
      <c r="D30" s="653" t="s">
        <v>891</v>
      </c>
      <c r="E30" s="652" t="s">
        <v>892</v>
      </c>
      <c r="F30" s="652" t="s">
        <v>893</v>
      </c>
      <c r="G30" s="652" t="s">
        <v>894</v>
      </c>
      <c r="H30" s="652" t="s">
        <v>885</v>
      </c>
      <c r="I30" s="652" t="s">
        <v>892</v>
      </c>
      <c r="J30" s="795">
        <v>41241</v>
      </c>
      <c r="K30" s="795">
        <v>41311</v>
      </c>
      <c r="L30" s="652" t="s">
        <v>886</v>
      </c>
      <c r="M30" s="652">
        <v>55</v>
      </c>
      <c r="N30" s="652">
        <v>247.5</v>
      </c>
      <c r="O30" s="652">
        <v>353.57142857142856</v>
      </c>
      <c r="P30" s="652">
        <v>707.14285714285722</v>
      </c>
      <c r="Q30" s="652">
        <v>0</v>
      </c>
      <c r="R30" s="652">
        <v>0</v>
      </c>
      <c r="S30" s="652">
        <v>0</v>
      </c>
      <c r="T30" s="652">
        <v>0</v>
      </c>
      <c r="U30" s="652">
        <v>0</v>
      </c>
      <c r="V30" s="652">
        <v>0</v>
      </c>
      <c r="W30" s="652">
        <v>0</v>
      </c>
      <c r="X30" s="652">
        <v>500</v>
      </c>
      <c r="Y30" s="652" t="s">
        <v>41</v>
      </c>
      <c r="Z30" s="654" t="s">
        <v>389</v>
      </c>
    </row>
    <row r="31" spans="1:26" s="606" customFormat="1" ht="25.5">
      <c r="A31" s="605"/>
      <c r="B31" s="796">
        <v>12030</v>
      </c>
      <c r="C31" s="796">
        <v>2870</v>
      </c>
      <c r="D31" s="653" t="s">
        <v>895</v>
      </c>
      <c r="E31" s="652" t="s">
        <v>896</v>
      </c>
      <c r="F31" s="652" t="s">
        <v>897</v>
      </c>
      <c r="G31" s="652" t="s">
        <v>884</v>
      </c>
      <c r="H31" s="652" t="s">
        <v>885</v>
      </c>
      <c r="I31" s="652" t="s">
        <v>896</v>
      </c>
      <c r="J31" s="795">
        <v>41699</v>
      </c>
      <c r="K31" s="795">
        <v>41712</v>
      </c>
      <c r="L31" s="652" t="s">
        <v>886</v>
      </c>
      <c r="M31" s="652">
        <v>15</v>
      </c>
      <c r="N31" s="652">
        <v>67.5</v>
      </c>
      <c r="O31" s="652">
        <v>96.428571428571431</v>
      </c>
      <c r="P31" s="652">
        <v>192.85714285714286</v>
      </c>
      <c r="Q31" s="652">
        <v>0</v>
      </c>
      <c r="R31" s="652">
        <v>0</v>
      </c>
      <c r="S31" s="652">
        <v>0</v>
      </c>
      <c r="T31" s="652">
        <v>0</v>
      </c>
      <c r="U31" s="652">
        <v>0</v>
      </c>
      <c r="V31" s="652">
        <v>0</v>
      </c>
      <c r="W31" s="652">
        <v>0</v>
      </c>
      <c r="X31" s="652">
        <v>1101</v>
      </c>
      <c r="Y31" s="652" t="s">
        <v>52</v>
      </c>
      <c r="Z31" s="654" t="s">
        <v>156</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3273</v>
      </c>
      <c r="N58" s="610">
        <f>SUM(N28:N57)</f>
        <v>14728.499999999998</v>
      </c>
      <c r="O58" s="610">
        <f t="shared" ref="O58:W58" si="2">SUM(O28:O57)</f>
        <v>21040.714285714283</v>
      </c>
      <c r="P58" s="610">
        <f t="shared" si="2"/>
        <v>42081.428571428565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3258</v>
      </c>
      <c r="N59" s="610">
        <f t="shared" si="3"/>
        <v>14660.999999999998</v>
      </c>
      <c r="O59" s="610">
        <f t="shared" si="3"/>
        <v>20944.28571428571</v>
      </c>
      <c r="P59" s="610">
        <f t="shared" si="3"/>
        <v>41888.57142857142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v>
      </c>
      <c r="N60" s="610">
        <f ca="1">SUMIF($Z$28:AD57,"tertiair",N28:N57)</f>
        <v>67.5</v>
      </c>
      <c r="O60" s="610">
        <f ca="1">SUMIF($Z$28:AE57,"tertiair",O28:O57)</f>
        <v>96.428571428571431</v>
      </c>
      <c r="P60" s="610">
        <f ca="1">SUMIF($Z$28:AF57,"tertiair",P28:P57)</f>
        <v>192.85714285714286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17327.647058823524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24753.781512605034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27884.553189840022</v>
      </c>
      <c r="C4" s="477">
        <f>huishoudens!C8</f>
        <v>0</v>
      </c>
      <c r="D4" s="477">
        <f>huishoudens!D8</f>
        <v>78467.201132626651</v>
      </c>
      <c r="E4" s="477">
        <f>huishoudens!E8</f>
        <v>3118.9331123579159</v>
      </c>
      <c r="F4" s="477">
        <f>huishoudens!F8</f>
        <v>6099.2803327359234</v>
      </c>
      <c r="G4" s="477">
        <f>huishoudens!G8</f>
        <v>0</v>
      </c>
      <c r="H4" s="477">
        <f>huishoudens!H8</f>
        <v>0</v>
      </c>
      <c r="I4" s="477">
        <f>huishoudens!I8</f>
        <v>0</v>
      </c>
      <c r="J4" s="477">
        <f>huishoudens!J8</f>
        <v>0</v>
      </c>
      <c r="K4" s="477">
        <f>huishoudens!K8</f>
        <v>0</v>
      </c>
      <c r="L4" s="477">
        <f>huishoudens!L8</f>
        <v>0</v>
      </c>
      <c r="M4" s="477">
        <f>huishoudens!M8</f>
        <v>0</v>
      </c>
      <c r="N4" s="477">
        <f>huishoudens!N8</f>
        <v>11553.429054984301</v>
      </c>
      <c r="O4" s="477">
        <f>huishoudens!O8</f>
        <v>325.17333333333335</v>
      </c>
      <c r="P4" s="478">
        <f>huishoudens!P8</f>
        <v>915.2</v>
      </c>
      <c r="Q4" s="479">
        <f>SUM(B4:P4)</f>
        <v>128363.77015587816</v>
      </c>
    </row>
    <row r="5" spans="1:17">
      <c r="A5" s="476" t="s">
        <v>156</v>
      </c>
      <c r="B5" s="477">
        <f ca="1">tertiair!B16</f>
        <v>29336.763264816924</v>
      </c>
      <c r="C5" s="477">
        <f ca="1">tertiair!C16</f>
        <v>96.428571428571431</v>
      </c>
      <c r="D5" s="477">
        <f ca="1">tertiair!D16</f>
        <v>32120.240533336353</v>
      </c>
      <c r="E5" s="477">
        <f>tertiair!E16</f>
        <v>323.45644857037138</v>
      </c>
      <c r="F5" s="477">
        <f ca="1">tertiair!F16</f>
        <v>5302.0505123709318</v>
      </c>
      <c r="G5" s="477">
        <f>tertiair!G16</f>
        <v>0</v>
      </c>
      <c r="H5" s="477">
        <f>tertiair!H16</f>
        <v>0</v>
      </c>
      <c r="I5" s="477">
        <f>tertiair!I16</f>
        <v>0</v>
      </c>
      <c r="J5" s="477">
        <f>tertiair!J16</f>
        <v>0.12812442362814364</v>
      </c>
      <c r="K5" s="477">
        <f>tertiair!K16</f>
        <v>0</v>
      </c>
      <c r="L5" s="477">
        <f ca="1">tertiair!L16</f>
        <v>0</v>
      </c>
      <c r="M5" s="477">
        <f>tertiair!M16</f>
        <v>0</v>
      </c>
      <c r="N5" s="477">
        <f ca="1">tertiair!N16</f>
        <v>5059.7584968378196</v>
      </c>
      <c r="O5" s="477">
        <f>tertiair!O16</f>
        <v>1.5633333333333335</v>
      </c>
      <c r="P5" s="478">
        <f>tertiair!P16</f>
        <v>57.2</v>
      </c>
      <c r="Q5" s="476">
        <f t="shared" ref="Q5:Q14" ca="1" si="0">SUM(B5:P5)</f>
        <v>72297.589285117938</v>
      </c>
    </row>
    <row r="6" spans="1:17">
      <c r="A6" s="476" t="s">
        <v>194</v>
      </c>
      <c r="B6" s="477">
        <f>'openbare verlichting'!B8</f>
        <v>1553.729</v>
      </c>
      <c r="C6" s="477"/>
      <c r="D6" s="477"/>
      <c r="E6" s="477"/>
      <c r="F6" s="477"/>
      <c r="G6" s="477"/>
      <c r="H6" s="477"/>
      <c r="I6" s="477"/>
      <c r="J6" s="477"/>
      <c r="K6" s="477"/>
      <c r="L6" s="477"/>
      <c r="M6" s="477"/>
      <c r="N6" s="477"/>
      <c r="O6" s="477"/>
      <c r="P6" s="478"/>
      <c r="Q6" s="476">
        <f t="shared" si="0"/>
        <v>1553.729</v>
      </c>
    </row>
    <row r="7" spans="1:17">
      <c r="A7" s="476" t="s">
        <v>112</v>
      </c>
      <c r="B7" s="477">
        <f>landbouw!B8</f>
        <v>803.40447205305304</v>
      </c>
      <c r="C7" s="477">
        <f>landbouw!C8</f>
        <v>0</v>
      </c>
      <c r="D7" s="477">
        <f>landbouw!D8</f>
        <v>415.67133236788931</v>
      </c>
      <c r="E7" s="477">
        <f>landbouw!E8</f>
        <v>23.614511314127441</v>
      </c>
      <c r="F7" s="477">
        <f>landbouw!F8</f>
        <v>3346.9396168740332</v>
      </c>
      <c r="G7" s="477">
        <f>landbouw!G8</f>
        <v>0</v>
      </c>
      <c r="H7" s="477">
        <f>landbouw!H8</f>
        <v>0</v>
      </c>
      <c r="I7" s="477">
        <f>landbouw!I8</f>
        <v>0</v>
      </c>
      <c r="J7" s="477">
        <f>landbouw!J8</f>
        <v>116.39605469195338</v>
      </c>
      <c r="K7" s="477">
        <f>landbouw!K8</f>
        <v>0</v>
      </c>
      <c r="L7" s="477">
        <f>landbouw!L8</f>
        <v>0</v>
      </c>
      <c r="M7" s="477">
        <f>landbouw!M8</f>
        <v>0</v>
      </c>
      <c r="N7" s="477">
        <f>landbouw!N8</f>
        <v>0</v>
      </c>
      <c r="O7" s="477">
        <f>landbouw!O8</f>
        <v>0</v>
      </c>
      <c r="P7" s="478">
        <f>landbouw!P8</f>
        <v>0</v>
      </c>
      <c r="Q7" s="476">
        <f t="shared" si="0"/>
        <v>4706.0259873010564</v>
      </c>
    </row>
    <row r="8" spans="1:17">
      <c r="A8" s="476" t="s">
        <v>635</v>
      </c>
      <c r="B8" s="477">
        <f>industrie!B18</f>
        <v>144125.03534184574</v>
      </c>
      <c r="C8" s="477">
        <f>industrie!C18</f>
        <v>20944.28571428571</v>
      </c>
      <c r="D8" s="477">
        <f>industrie!D18</f>
        <v>130928.78037050893</v>
      </c>
      <c r="E8" s="477">
        <f>industrie!E18</f>
        <v>5537.8965131311597</v>
      </c>
      <c r="F8" s="477">
        <f>industrie!F18</f>
        <v>18679.570395878211</v>
      </c>
      <c r="G8" s="477">
        <f>industrie!G18</f>
        <v>0</v>
      </c>
      <c r="H8" s="477">
        <f>industrie!H18</f>
        <v>0</v>
      </c>
      <c r="I8" s="477">
        <f>industrie!I18</f>
        <v>0</v>
      </c>
      <c r="J8" s="477">
        <f>industrie!J18</f>
        <v>166.26709518471628</v>
      </c>
      <c r="K8" s="477">
        <f>industrie!K18</f>
        <v>0</v>
      </c>
      <c r="L8" s="477">
        <f>industrie!L18</f>
        <v>0</v>
      </c>
      <c r="M8" s="477">
        <f>industrie!M18</f>
        <v>0</v>
      </c>
      <c r="N8" s="477">
        <f>industrie!N18</f>
        <v>15980.527183507005</v>
      </c>
      <c r="O8" s="477">
        <f>industrie!O18</f>
        <v>0</v>
      </c>
      <c r="P8" s="478">
        <f>industrie!P18</f>
        <v>0</v>
      </c>
      <c r="Q8" s="476">
        <f t="shared" si="0"/>
        <v>336362.36261434149</v>
      </c>
    </row>
    <row r="9" spans="1:17" s="482" customFormat="1">
      <c r="A9" s="480" t="s">
        <v>561</v>
      </c>
      <c r="B9" s="481">
        <f>transport!B14</f>
        <v>157.89115310280653</v>
      </c>
      <c r="C9" s="481">
        <f>transport!C14</f>
        <v>0</v>
      </c>
      <c r="D9" s="481">
        <f>transport!D14</f>
        <v>539.38661564534425</v>
      </c>
      <c r="E9" s="481">
        <f>transport!E14</f>
        <v>752.77838787268888</v>
      </c>
      <c r="F9" s="481">
        <f>transport!F14</f>
        <v>0</v>
      </c>
      <c r="G9" s="481">
        <f>transport!G14</f>
        <v>363940.74804080871</v>
      </c>
      <c r="H9" s="481">
        <f>transport!H14</f>
        <v>61375.928000168795</v>
      </c>
      <c r="I9" s="481">
        <f>transport!I14</f>
        <v>0</v>
      </c>
      <c r="J9" s="481">
        <f>transport!J14</f>
        <v>0</v>
      </c>
      <c r="K9" s="481">
        <f>transport!K14</f>
        <v>0</v>
      </c>
      <c r="L9" s="481">
        <f>transport!L14</f>
        <v>0</v>
      </c>
      <c r="M9" s="481">
        <f>transport!M14</f>
        <v>23074.180547277017</v>
      </c>
      <c r="N9" s="481">
        <f>transport!N14</f>
        <v>0</v>
      </c>
      <c r="O9" s="481">
        <f>transport!O14</f>
        <v>0</v>
      </c>
      <c r="P9" s="481">
        <f>transport!P14</f>
        <v>0</v>
      </c>
      <c r="Q9" s="480">
        <f>SUM(B9:P9)</f>
        <v>449840.91274487542</v>
      </c>
    </row>
    <row r="10" spans="1:17">
      <c r="A10" s="476" t="s">
        <v>551</v>
      </c>
      <c r="B10" s="477">
        <f>transport!B54</f>
        <v>0</v>
      </c>
      <c r="C10" s="477">
        <f>transport!C54</f>
        <v>0</v>
      </c>
      <c r="D10" s="477">
        <f>transport!D54</f>
        <v>0</v>
      </c>
      <c r="E10" s="477">
        <f>transport!E54</f>
        <v>0</v>
      </c>
      <c r="F10" s="477">
        <f>transport!F54</f>
        <v>0</v>
      </c>
      <c r="G10" s="477">
        <f>transport!G54</f>
        <v>1546.985672830104</v>
      </c>
      <c r="H10" s="477">
        <f>transport!H54</f>
        <v>0</v>
      </c>
      <c r="I10" s="477">
        <f>transport!I54</f>
        <v>0</v>
      </c>
      <c r="J10" s="477">
        <f>transport!J54</f>
        <v>0</v>
      </c>
      <c r="K10" s="477">
        <f>transport!K54</f>
        <v>0</v>
      </c>
      <c r="L10" s="477">
        <f>transport!L54</f>
        <v>0</v>
      </c>
      <c r="M10" s="477">
        <f>transport!M54</f>
        <v>87.861956930331345</v>
      </c>
      <c r="N10" s="477">
        <f>transport!N54</f>
        <v>0</v>
      </c>
      <c r="O10" s="477">
        <f>transport!O54</f>
        <v>0</v>
      </c>
      <c r="P10" s="478">
        <f>transport!P54</f>
        <v>0</v>
      </c>
      <c r="Q10" s="476">
        <f t="shared" si="0"/>
        <v>1634.8476297604354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829.03891601699104</v>
      </c>
      <c r="C14" s="484"/>
      <c r="D14" s="484">
        <f>'SEAP template'!E25</f>
        <v>1577.5906504454899</v>
      </c>
      <c r="E14" s="484"/>
      <c r="F14" s="484"/>
      <c r="G14" s="484"/>
      <c r="H14" s="484"/>
      <c r="I14" s="484"/>
      <c r="J14" s="484"/>
      <c r="K14" s="484"/>
      <c r="L14" s="484"/>
      <c r="M14" s="484"/>
      <c r="N14" s="484"/>
      <c r="O14" s="484"/>
      <c r="P14" s="485"/>
      <c r="Q14" s="476">
        <f t="shared" si="0"/>
        <v>2406.6295664624809</v>
      </c>
    </row>
    <row r="15" spans="1:17" s="486" customFormat="1">
      <c r="A15" s="1039" t="s">
        <v>555</v>
      </c>
      <c r="B15" s="987">
        <f ca="1">SUM(B4:B14)</f>
        <v>204690.41533767551</v>
      </c>
      <c r="C15" s="987">
        <f t="shared" ref="C15:Q15" ca="1" si="1">SUM(C4:C14)</f>
        <v>21040.714285714283</v>
      </c>
      <c r="D15" s="987">
        <f t="shared" ca="1" si="1"/>
        <v>244048.87063493064</v>
      </c>
      <c r="E15" s="987">
        <f t="shared" si="1"/>
        <v>9756.6789732462639</v>
      </c>
      <c r="F15" s="987">
        <f t="shared" ca="1" si="1"/>
        <v>33427.840857859097</v>
      </c>
      <c r="G15" s="987">
        <f t="shared" si="1"/>
        <v>365487.73371363879</v>
      </c>
      <c r="H15" s="987">
        <f t="shared" si="1"/>
        <v>61375.928000168795</v>
      </c>
      <c r="I15" s="987">
        <f t="shared" si="1"/>
        <v>0</v>
      </c>
      <c r="J15" s="987">
        <f t="shared" si="1"/>
        <v>282.7912743002978</v>
      </c>
      <c r="K15" s="987">
        <f t="shared" si="1"/>
        <v>0</v>
      </c>
      <c r="L15" s="987">
        <f t="shared" ca="1" si="1"/>
        <v>0</v>
      </c>
      <c r="M15" s="987">
        <f t="shared" si="1"/>
        <v>23162.042504207348</v>
      </c>
      <c r="N15" s="987">
        <f t="shared" ca="1" si="1"/>
        <v>32593.714735329126</v>
      </c>
      <c r="O15" s="987">
        <f t="shared" si="1"/>
        <v>326.73666666666668</v>
      </c>
      <c r="P15" s="987">
        <f t="shared" si="1"/>
        <v>972.40000000000009</v>
      </c>
      <c r="Q15" s="987">
        <f t="shared" ca="1" si="1"/>
        <v>997165.86698373687</v>
      </c>
    </row>
    <row r="17" spans="1:17">
      <c r="A17" s="487" t="s">
        <v>556</v>
      </c>
      <c r="B17" s="786">
        <f ca="1">huishoudens!B10</f>
        <v>0.18614512068310118</v>
      </c>
      <c r="C17" s="786">
        <f ca="1">huishoudens!C10</f>
        <v>0.23764705882352938</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5190.5735187171249</v>
      </c>
      <c r="C22" s="477">
        <f t="shared" ref="C22:C32" ca="1" si="3">C4*$C$17</f>
        <v>0</v>
      </c>
      <c r="D22" s="477">
        <f t="shared" ref="D22:D32" si="4">D4*$D$17</f>
        <v>15850.374628790585</v>
      </c>
      <c r="E22" s="477">
        <f t="shared" ref="E22:E32" si="5">E4*$E$17</f>
        <v>707.99781650524687</v>
      </c>
      <c r="F22" s="477">
        <f t="shared" ref="F22:F32" si="6">F4*$F$17</f>
        <v>1628.5078488404915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23377.453812853448</v>
      </c>
    </row>
    <row r="23" spans="1:17">
      <c r="A23" s="476" t="s">
        <v>156</v>
      </c>
      <c r="B23" s="477">
        <f t="shared" ca="1" si="2"/>
        <v>5460.8953383809157</v>
      </c>
      <c r="C23" s="477">
        <f t="shared" ca="1" si="3"/>
        <v>22.915966386554619</v>
      </c>
      <c r="D23" s="477">
        <f t="shared" ca="1" si="4"/>
        <v>6488.288587733944</v>
      </c>
      <c r="E23" s="477">
        <f t="shared" si="5"/>
        <v>73.42461382547431</v>
      </c>
      <c r="F23" s="477">
        <f t="shared" ca="1" si="6"/>
        <v>1415.6474868030389</v>
      </c>
      <c r="G23" s="477">
        <f t="shared" si="7"/>
        <v>0</v>
      </c>
      <c r="H23" s="477">
        <f t="shared" si="8"/>
        <v>0</v>
      </c>
      <c r="I23" s="477">
        <f t="shared" si="9"/>
        <v>0</v>
      </c>
      <c r="J23" s="477">
        <f t="shared" si="10"/>
        <v>4.5356045964362844E-2</v>
      </c>
      <c r="K23" s="477">
        <f t="shared" si="11"/>
        <v>0</v>
      </c>
      <c r="L23" s="477">
        <f t="shared" ca="1" si="12"/>
        <v>0</v>
      </c>
      <c r="M23" s="477">
        <f t="shared" si="13"/>
        <v>0</v>
      </c>
      <c r="N23" s="477">
        <f t="shared" ca="1" si="14"/>
        <v>0</v>
      </c>
      <c r="O23" s="477">
        <f t="shared" si="15"/>
        <v>0</v>
      </c>
      <c r="P23" s="478">
        <f t="shared" si="16"/>
        <v>0</v>
      </c>
      <c r="Q23" s="476">
        <f t="shared" ref="Q23:Q32" ca="1" si="17">SUM(B23:P23)</f>
        <v>13461.217349175891</v>
      </c>
    </row>
    <row r="24" spans="1:17">
      <c r="A24" s="476" t="s">
        <v>194</v>
      </c>
      <c r="B24" s="477">
        <f t="shared" ca="1" si="2"/>
        <v>289.21907221383412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289.21907221383412</v>
      </c>
    </row>
    <row r="25" spans="1:17">
      <c r="A25" s="476" t="s">
        <v>112</v>
      </c>
      <c r="B25" s="477">
        <f t="shared" ca="1" si="2"/>
        <v>149.54982240765875</v>
      </c>
      <c r="C25" s="477">
        <f t="shared" ca="1" si="3"/>
        <v>0</v>
      </c>
      <c r="D25" s="477">
        <f t="shared" si="4"/>
        <v>83.965609138313638</v>
      </c>
      <c r="E25" s="477">
        <f t="shared" si="5"/>
        <v>5.3604940683069291</v>
      </c>
      <c r="F25" s="477">
        <f t="shared" si="6"/>
        <v>893.63287770536692</v>
      </c>
      <c r="G25" s="477">
        <f t="shared" si="7"/>
        <v>0</v>
      </c>
      <c r="H25" s="477">
        <f t="shared" si="8"/>
        <v>0</v>
      </c>
      <c r="I25" s="477">
        <f t="shared" si="9"/>
        <v>0</v>
      </c>
      <c r="J25" s="477">
        <f t="shared" si="10"/>
        <v>41.204203360951496</v>
      </c>
      <c r="K25" s="477">
        <f t="shared" si="11"/>
        <v>0</v>
      </c>
      <c r="L25" s="477">
        <f t="shared" si="12"/>
        <v>0</v>
      </c>
      <c r="M25" s="477">
        <f t="shared" si="13"/>
        <v>0</v>
      </c>
      <c r="N25" s="477">
        <f t="shared" si="14"/>
        <v>0</v>
      </c>
      <c r="O25" s="477">
        <f t="shared" si="15"/>
        <v>0</v>
      </c>
      <c r="P25" s="478">
        <f t="shared" si="16"/>
        <v>0</v>
      </c>
      <c r="Q25" s="476">
        <f t="shared" ca="1" si="17"/>
        <v>1173.7130066805976</v>
      </c>
    </row>
    <row r="26" spans="1:17">
      <c r="A26" s="476" t="s">
        <v>635</v>
      </c>
      <c r="B26" s="477">
        <f t="shared" ca="1" si="2"/>
        <v>26828.172097164097</v>
      </c>
      <c r="C26" s="477">
        <f t="shared" ca="1" si="3"/>
        <v>4977.3478991596621</v>
      </c>
      <c r="D26" s="477">
        <f t="shared" si="4"/>
        <v>26447.613634842804</v>
      </c>
      <c r="E26" s="477">
        <f t="shared" si="5"/>
        <v>1257.1025084807734</v>
      </c>
      <c r="F26" s="477">
        <f t="shared" si="6"/>
        <v>4987.4452956994828</v>
      </c>
      <c r="G26" s="477">
        <f t="shared" si="7"/>
        <v>0</v>
      </c>
      <c r="H26" s="477">
        <f t="shared" si="8"/>
        <v>0</v>
      </c>
      <c r="I26" s="477">
        <f t="shared" si="9"/>
        <v>0</v>
      </c>
      <c r="J26" s="477">
        <f t="shared" si="10"/>
        <v>58.858551695389558</v>
      </c>
      <c r="K26" s="477">
        <f t="shared" si="11"/>
        <v>0</v>
      </c>
      <c r="L26" s="477">
        <f t="shared" si="12"/>
        <v>0</v>
      </c>
      <c r="M26" s="477">
        <f t="shared" si="13"/>
        <v>0</v>
      </c>
      <c r="N26" s="477">
        <f t="shared" si="14"/>
        <v>0</v>
      </c>
      <c r="O26" s="477">
        <f t="shared" si="15"/>
        <v>0</v>
      </c>
      <c r="P26" s="478">
        <f t="shared" si="16"/>
        <v>0</v>
      </c>
      <c r="Q26" s="476">
        <f t="shared" ca="1" si="17"/>
        <v>64556.539987042212</v>
      </c>
    </row>
    <row r="27" spans="1:17" s="482" customFormat="1">
      <c r="A27" s="480" t="s">
        <v>561</v>
      </c>
      <c r="B27" s="780">
        <f t="shared" ca="1" si="2"/>
        <v>29.390667749115927</v>
      </c>
      <c r="C27" s="481">
        <f t="shared" ca="1" si="3"/>
        <v>0</v>
      </c>
      <c r="D27" s="481">
        <f t="shared" si="4"/>
        <v>108.95609636035955</v>
      </c>
      <c r="E27" s="481">
        <f t="shared" si="5"/>
        <v>170.88069404710038</v>
      </c>
      <c r="F27" s="481">
        <f t="shared" si="6"/>
        <v>0</v>
      </c>
      <c r="G27" s="481">
        <f t="shared" si="7"/>
        <v>97172.179726895934</v>
      </c>
      <c r="H27" s="481">
        <f t="shared" si="8"/>
        <v>15282.60607204203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112764.01325709454</v>
      </c>
    </row>
    <row r="28" spans="1:17">
      <c r="A28" s="476" t="s">
        <v>551</v>
      </c>
      <c r="B28" s="477">
        <f t="shared" ca="1" si="2"/>
        <v>0</v>
      </c>
      <c r="C28" s="477">
        <f t="shared" ca="1" si="3"/>
        <v>0</v>
      </c>
      <c r="D28" s="477">
        <f t="shared" si="4"/>
        <v>0</v>
      </c>
      <c r="E28" s="477">
        <f t="shared" si="5"/>
        <v>0</v>
      </c>
      <c r="F28" s="477">
        <f t="shared" si="6"/>
        <v>0</v>
      </c>
      <c r="G28" s="477">
        <f t="shared" si="7"/>
        <v>413.04517464563781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413.04517464563781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154.32154907297019</v>
      </c>
      <c r="C32" s="477">
        <f t="shared" ca="1" si="3"/>
        <v>0</v>
      </c>
      <c r="D32" s="477">
        <f t="shared" si="4"/>
        <v>318.67331138998901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472.9948604629592</v>
      </c>
    </row>
    <row r="33" spans="1:17" s="486" customFormat="1">
      <c r="A33" s="1039" t="s">
        <v>555</v>
      </c>
      <c r="B33" s="987">
        <f ca="1">SUM(B22:B32)</f>
        <v>38102.12206570572</v>
      </c>
      <c r="C33" s="987">
        <f t="shared" ref="C33:Q33" ca="1" si="18">SUM(C22:C32)</f>
        <v>5000.2638655462169</v>
      </c>
      <c r="D33" s="987">
        <f t="shared" ca="1" si="18"/>
        <v>49297.871868255992</v>
      </c>
      <c r="E33" s="987">
        <f t="shared" si="18"/>
        <v>2214.766126926902</v>
      </c>
      <c r="F33" s="987">
        <f t="shared" ca="1" si="18"/>
        <v>8925.2335090483793</v>
      </c>
      <c r="G33" s="987">
        <f t="shared" si="18"/>
        <v>97585.224901541573</v>
      </c>
      <c r="H33" s="987">
        <f t="shared" si="18"/>
        <v>15282.60607204203</v>
      </c>
      <c r="I33" s="987">
        <f t="shared" si="18"/>
        <v>0</v>
      </c>
      <c r="J33" s="987">
        <f t="shared" si="18"/>
        <v>100.10811110230541</v>
      </c>
      <c r="K33" s="987">
        <f t="shared" si="18"/>
        <v>0</v>
      </c>
      <c r="L33" s="987">
        <f t="shared" ca="1" si="18"/>
        <v>0</v>
      </c>
      <c r="M33" s="987">
        <f t="shared" si="18"/>
        <v>0</v>
      </c>
      <c r="N33" s="987">
        <f t="shared" ca="1" si="18"/>
        <v>0</v>
      </c>
      <c r="O33" s="987">
        <f t="shared" si="18"/>
        <v>0</v>
      </c>
      <c r="P33" s="987">
        <f t="shared" si="18"/>
        <v>0</v>
      </c>
      <c r="Q33" s="987">
        <f t="shared" ca="1" si="18"/>
        <v>216508.19652016912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23769.784128513922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9622.2789022685865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14728.499999999998</v>
      </c>
      <c r="D8" s="1056">
        <f>'SEAP template'!D76</f>
        <v>17327.647058823524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3500.1847058823523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33392.063030782505</v>
      </c>
      <c r="C10" s="1060">
        <f>SUM(C4:C9)</f>
        <v>14728.499999999998</v>
      </c>
      <c r="D10" s="1060">
        <f t="shared" ref="D10:H10" si="0">SUM(D8:D9)</f>
        <v>17327.647058823524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3500.1847058823523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0.18614512068310118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21040.714285714283</v>
      </c>
      <c r="D17" s="1057">
        <f>'SEAP template'!D87</f>
        <v>24753.781512605034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5000.2638655462169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21040.714285714283</v>
      </c>
      <c r="D20" s="1060">
        <f t="shared" ref="D20:H20" si="2">SUM(D17:D19)</f>
        <v>24753.781512605034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5000.2638655462169</v>
      </c>
    </row>
    <row r="22" spans="1:16">
      <c r="A22" s="487" t="s">
        <v>862</v>
      </c>
      <c r="B22" s="786" t="s">
        <v>856</v>
      </c>
      <c r="C22" s="786">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0.18614512068310118</v>
      </c>
      <c r="C17" s="524">
        <f ca="1">'EF ele_warmte'!B22</f>
        <v>0.23764705882352938</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2019-08-12T08:31:37Z</dcterms:modified>
</cp:coreProperties>
</file>