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L20" s="1"/>
  <c r="N20"/>
  <c r="N77" i="14"/>
  <c r="B10" i="18"/>
  <c r="M77" i="14"/>
  <c r="M9" i="61" s="1"/>
  <c r="H9" i="18"/>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N78" l="1"/>
  <c r="N9" i="61"/>
  <c r="N10" s="1"/>
  <c r="H78" i="14"/>
  <c r="H9" i="61"/>
  <c r="H10" s="1"/>
  <c r="C102" i="18"/>
  <c r="H102"/>
  <c r="D102"/>
  <c r="G78" i="14"/>
  <c r="G102" i="18"/>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28"/>
  <c r="I30"/>
  <c r="I22"/>
  <c r="I32"/>
  <c r="I26"/>
  <c r="I31"/>
  <c r="I27"/>
  <c r="I29"/>
  <c r="I24"/>
  <c r="D4"/>
  <c r="D22" s="1"/>
  <c r="E11" i="14"/>
  <c r="H29" i="48"/>
  <c r="H32"/>
  <c r="H22"/>
  <c r="H26"/>
  <c r="H28"/>
  <c r="H30"/>
  <c r="H24"/>
  <c r="H25"/>
  <c r="H23"/>
  <c r="C4"/>
  <c r="D11" i="14"/>
  <c r="G23" i="48"/>
  <c r="G30"/>
  <c r="G32"/>
  <c r="G26"/>
  <c r="G29"/>
  <c r="G24"/>
  <c r="G25"/>
  <c r="G22"/>
  <c r="B4"/>
  <c r="C11" i="14"/>
  <c r="F30" i="48"/>
  <c r="F32"/>
  <c r="F24"/>
  <c r="F31"/>
  <c r="F27"/>
  <c r="F29"/>
  <c r="F28"/>
  <c r="N24"/>
  <c r="N31"/>
  <c r="N30"/>
  <c r="N32"/>
  <c r="N28"/>
  <c r="N29"/>
  <c r="N27"/>
  <c r="B10"/>
  <c r="C19" i="14"/>
  <c r="E31" i="48"/>
  <c r="E29"/>
  <c r="E30"/>
  <c r="E28"/>
  <c r="E24"/>
  <c r="E32"/>
  <c r="M29"/>
  <c r="M32"/>
  <c r="M25"/>
  <c r="M22"/>
  <c r="M26"/>
  <c r="M24"/>
  <c r="M30"/>
  <c r="M23"/>
  <c r="L10" i="14"/>
  <c r="L16" s="1"/>
  <c r="L27" s="1"/>
  <c r="K5" i="48"/>
  <c r="D30"/>
  <c r="D28"/>
  <c r="D24"/>
  <c r="D31"/>
  <c r="D32"/>
  <c r="D29"/>
  <c r="L29"/>
  <c r="L32"/>
  <c r="L22"/>
  <c r="L28"/>
  <c r="L27"/>
  <c r="L24"/>
  <c r="L31"/>
  <c r="L30"/>
  <c r="Q10" i="14"/>
  <c r="P5" i="48"/>
  <c r="P23" s="1"/>
  <c r="K32"/>
  <c r="K24"/>
  <c r="K22"/>
  <c r="K25"/>
  <c r="K27"/>
  <c r="K26"/>
  <c r="K28"/>
  <c r="K29"/>
  <c r="K30"/>
  <c r="K31"/>
  <c r="B7"/>
  <c r="C24" i="14"/>
  <c r="C26" s="1"/>
  <c r="J29" i="48"/>
  <c r="J30"/>
  <c r="J32"/>
  <c r="J24"/>
  <c r="J31"/>
  <c r="J28"/>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33" s="1"/>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<sst xmlns="http://schemas.openxmlformats.org/spreadsheetml/2006/main" count="2479" uniqueCount="926">
  <si>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</si>
  <si>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</si>
  <si>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</si>
  <si>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</si>
  <si>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</si>
  <si>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</si>
  <si>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</si>
  <si>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</si>
  <si>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</si>
  <si>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</si>
  <si>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</si>
  <si>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</si>
  <si>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</si>
  <si>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</si>
  <si>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</si>
  <si>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</si>
  <si>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</si>
  <si>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</si>
  <si>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</si>
  <si>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</si>
  <si>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</si>
  <si>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</si>
  <si>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</si>
  <si>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</si>
  <si>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</si>
  <si>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</si>
  <si>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</si>
  <si>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</si>
  <si>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</si>
  <si>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</si>
  <si>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</si>
  <si>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</si>
  <si>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</si>
  <si>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</si>
  <si>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</si>
  <si>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</si>
  <si>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</si>
  <si>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</si>
  <si>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</si>
  <si>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</si>
  <si>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</si>
  <si>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</si>
  <si>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</si>
  <si>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</si>
  <si>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</si>
  <si>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</si>
  <si>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</si>
  <si>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</si>
  <si>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</si>
  <si>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</si>
  <si>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</si>
  <si>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</si>
  <si>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</si>
  <si>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</si>
  <si>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</si>
  <si>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</si>
  <si>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</si>
  <si>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</si>
  <si>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</si>
  <si>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</si>
  <si>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</si>
  <si>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</si>
  <si>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</si>
  <si>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</si>
  <si>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</si>
  <si>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</si>
  <si>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</si>
  <si>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</si>
  <si>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</si>
  <si>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</si>
  <si>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</si>
  <si>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</si>
  <si>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</si>
  <si>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</si>
  <si>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</si>
  <si>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</si>
  <si>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</si>
  <si>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</si>
  <si>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</si>
  <si>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</si>
  <si>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</si>
  <si>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</si>
  <si>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</si>
  <si>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</si>
  <si>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</si>
  <si>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</si>
  <si>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</si>
  <si>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</si>
  <si>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</si>
  <si>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</si>
  <si>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</si>
  <si>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</si>
  <si>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</si>
  <si>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</si>
  <si>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</si>
  <si>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</si>
  <si>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</si>
  <si>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</si>
  <si>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</si>
  <si>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</si>
  <si>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</si>
  <si>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</si>
  <si>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</si>
  <si>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</si>
  <si>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</si>
  <si>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</si>
  <si>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</si>
  <si>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</si>
  <si>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</si>
  <si>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</si>
  <si>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</si>
  <si>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</si>
  <si>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</si>
  <si>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</si>
  <si>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</si>
  <si>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</si>
  <si>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</si>
  <si>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</si>
  <si>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</si>
  <si>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</si>
  <si>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</si>
  <si>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</si>
  <si>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</si>
  <si>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</si>
  <si>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</si>
  <si>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</si>
  <si>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</si>
  <si>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</si>
  <si>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</si>
  <si>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</si>
  <si>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</si>
  <si>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</si>
  <si>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</si>
  <si>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</si>
  <si>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</si>
  <si>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</si>
  <si>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</si>
  <si>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</si>
  <si>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</si>
  <si>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</si>
  <si>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</si>
  <si>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</si>
  <si>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</si>
  <si>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</si>
  <si>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</si>
  <si>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</si>
  <si>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</si>
  <si>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</si>
  <si>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</si>
  <si>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</si>
  <si>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</si>
  <si>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</si>
  <si>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</si>
  <si>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</si>
  <si>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</si>
  <si>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</si>
  <si>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</si>
  <si>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</si>
  <si>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</si>
  <si>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</si>
  <si>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</si>
  <si>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</si>
  <si>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</si>
  <si>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</si>
  <si>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</si>
  <si>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</si>
  <si>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</si>
  <si>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</si>
  <si>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</si>
  <si>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</si>
  <si>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</si>
  <si>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</si>
  <si>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</si>
  <si>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</si>
  <si>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</si>
  <si>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</si>
  <si>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</si>
  <si>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</si>
  <si>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</si>
  <si>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</si>
  <si>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</si>
  <si>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</si>
  <si>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</si>
  <si>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</si>
  <si>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</si>
  <si>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</si>
  <si>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</si>
  <si>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</si>
  <si>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</si>
  <si>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</si>
  <si>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</si>
  <si>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</si>
  <si>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</si>
  <si>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</si>
  <si>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</si>
  <si>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</si>
  <si>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</si>
  <si>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</si>
  <si>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</si>
  <si>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</si>
  <si>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</si>
  <si>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</si>
  <si>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</si>
  <si>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</si>
  <si>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</si>
  <si>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</si>
  <si>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</si>
  <si>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</si>
  <si>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</si>
  <si>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</si>
  <si>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</si>
  <si>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</si>
  <si>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</si>
  <si>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</si>
  <si>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</si>
  <si>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</si>
  <si>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</si>
  <si>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</si>
  <si>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</si>
  <si>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</si>
  <si>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</si>
  <si>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</si>
  <si>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</si>
  <si>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</si>
  <si>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</si>
  <si>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</si>
  <si>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</si>
  <si>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</si>
  <si>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</si>
  <si>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</si>
  <si>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</si>
  <si>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</si>
  <si>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</si>
  <si>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</si>
  <si>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</si>
  <si>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</si>
  <si>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</si>
  <si>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</si>
  <si>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</si>
  <si>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</si>
  <si>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</si>
  <si>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</si>
  <si>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</si>
  <si>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</si>
  <si>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</si>
  <si>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</si>
  <si>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</si>
  <si>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</si>
  <si>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</si>
  <si>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</si>
  <si>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</si>
  <si>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</si>
  <si>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</si>
  <si>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</si>
  <si>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</si>
  <si>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</si>
  <si>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</si>
  <si>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</si>
  <si>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</si>
  <si>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</si>
  <si>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</si>
  <si>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</si>
  <si>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</si>
  <si>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</si>
  <si>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</si>
  <si>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</si>
  <si>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</si>
  <si>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</si>
  <si>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</si>
  <si>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</si>
  <si>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</si>
  <si>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</si>
  <si>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</si>
  <si>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</si>
  <si>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</si>
  <si>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</si>
  <si>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</si>
  <si>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</si>
  <si>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</si>
  <si>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</si>
  <si>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</si>
  <si>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</si>
  <si>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</si>
  <si>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</si>
  <si>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</si>
  <si>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</si>
  <si>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</si>
  <si>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</si>
  <si>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</si>
  <si>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</si>
  <si>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</si>
  <si>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</si>
  <si>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</si>
  <si>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</si>
  <si>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</si>
  <si>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</si>
  <si>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</si>
  <si>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</si>
  <si>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</si>
  <si>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</si>
  <si>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</si>
  <si>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</si>
  <si>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</si>
  <si>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</si>
  <si>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</si>
  <si>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</si>
  <si>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</si>
  <si>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</si>
  <si>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</si>
  <si>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</si>
  <si>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</si>
  <si>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</si>
  <si>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</si>
  <si>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</si>
  <si>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</si>
  <si>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</si>
  <si>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</si>
  <si>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</si>
  <si>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</si>
  <si>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</si>
  <si>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</si>
  <si>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</si>
  <si>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</si>
  <si>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</si>
  <si>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</si>
  <si>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</si>
  <si>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</si>
  <si>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</si>
  <si>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</si>
  <si>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</si>
  <si>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</si>
  <si>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</si>
  <si>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</si>
  <si>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</si>
  <si>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</si>
  <si>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</si>
  <si>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</si>
  <si>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</si>
  <si>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</si>
  <si>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</si>
  <si>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</si>
  <si>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</si>
  <si>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</si>
  <si>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</si>
  <si>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</si>
  <si>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</si>
  <si>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</si>
  <si>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</si>
  <si>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</si>
  <si>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</si>
  <si>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</si>
  <si>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</si>
  <si>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</si>
  <si>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</si>
  <si>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</si>
  <si>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</si>
  <si>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</si>
  <si>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</si>
  <si>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</si>
  <si>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</si>
  <si>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</si>
  <si>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</si>
  <si>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</si>
  <si>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</si>
  <si>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</si>
  <si>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</si>
  <si>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</si>
  <si>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</si>
  <si>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</si>
  <si>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</si>
  <si>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</si>
  <si>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</si>
  <si>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</si>
  <si>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</si>
  <si>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</si>
  <si>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</si>
  <si>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</si>
  <si>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</si>
  <si>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</si>
  <si>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</si>
  <si>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</si>
  <si>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</si>
  <si>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</si>
  <si>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</si>
  <si>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</si>
  <si>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</si>
  <si>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</si>
  <si>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</si>
  <si>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</si>
  <si>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</si>
  <si>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</si>
  <si>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</si>
  <si>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</si>
  <si>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</si>
  <si>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</si>
  <si>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</si>
  <si>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</si>
  <si>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</si>
  <si>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</si>
  <si>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</si>
  <si>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</si>
  <si>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</si>
  <si>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</si>
  <si>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</si>
  <si>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</si>
  <si>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</si>
  <si>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</si>
  <si>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</si>
  <si>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</si>
  <si>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</si>
  <si>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</si>
  <si>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</si>
  <si>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</si>
  <si>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</si>
  <si>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</si>
  <si>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</si>
  <si>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</si>
  <si>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</si>
  <si>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</si>
  <si>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</si>
  <si>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</si>
  <si>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</si>
  <si>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</si>
  <si>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</si>
  <si>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</si>
  <si>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</si>
  <si>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</si>
  <si>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</si>
  <si>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</si>
  <si>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</si>
  <si>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</si>
  <si>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</si>
  <si>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</si>
  <si>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</si>
  <si>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</si>
  <si>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</si>
  <si>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</si>
  <si>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</si>
  <si>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</si>
  <si>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</si>
  <si>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</si>
  <si>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</si>
  <si>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</si>
  <si>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</si>
  <si>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</si>
  <si>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</si>
  <si>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</si>
  <si>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</si>
  <si>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</si>
  <si>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</si>
  <si>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</si>
  <si>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</si>
  <si>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</si>
  <si>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</si>
  <si>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</si>
  <si>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</si>
  <si>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</si>
  <si>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</si>
  <si>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</si>
  <si>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</si>
  <si>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</si>
  <si>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</si>
  <si>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</si>
  <si>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</si>
  <si>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</si>
  <si>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</si>
  <si>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</si>
  <si>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</si>
  <si>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</si>
  <si>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</si>
  <si>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</si>
  <si>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</si>
  <si>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</si>
  <si>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</si>
  <si>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</si>
  <si>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</si>
  <si>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</si>
  <si>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</si>
  <si>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</si>
  <si>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</si>
  <si>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</si>
  <si>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</si>
  <si>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</si>
  <si>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</si>
  <si>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</si>
  <si>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</si>
  <si>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</si>
  <si>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</si>
  <si>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</si>
  <si>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</si>
  <si>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</si>
  <si>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</si>
  <si>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</si>
  <si>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</si>
  <si>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</si>
  <si>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</si>
  <si>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</si>
  <si>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</si>
  <si>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</si>
  <si>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</si>
  <si>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</si>
  <si>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</si>
  <si>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</si>
  <si>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</si>
  <si>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</si>
  <si>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</si>
  <si>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</si>
  <si>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</si>
  <si>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</si>
  <si>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</si>
  <si>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</si>
  <si>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</si>
  <si>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</si>
  <si>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</si>
  <si>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</si>
  <si>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</si>
  <si>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</si>
  <si>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</si>
  <si>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</si>
  <si>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</si>
  <si>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</si>
  <si>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</si>
  <si>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</si>
  <si>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</si>
  <si>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</si>
  <si>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</si>
  <si>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</si>
  <si>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</si>
  <si>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</si>
  <si>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</si>
  <si>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</si>
  <si>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</si>
  <si>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</si>
  <si>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</si>
  <si>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</si>
  <si>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</si>
  <si>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</si>
  <si>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</si>
  <si>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</si>
  <si>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</si>
  <si>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</si>
  <si>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</si>
  <si>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</si>
  <si>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</si>
  <si>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</si>
  <si>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</si>
  <si>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</si>
  <si>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</si>
  <si>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</si>
  <si>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</si>
  <si>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</si>
  <si>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</si>
  <si>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</si>
  <si>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</si>
  <si>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</si>
  <si>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</si>
  <si>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</si>
  <si>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</si>
  <si>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</si>
  <si>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</si>
  <si>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</si>
  <si>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</si>
  <si>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</si>
  <si>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</si>
  <si>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</si>
  <si>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</si>
  <si>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</si>
  <si>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</si>
  <si>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</si>
  <si>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</si>
  <si>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</si>
  <si>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</si>
  <si>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</si>
  <si>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</si>
  <si>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</si>
  <si>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</si>
  <si>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</si>
  <si>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</si>
  <si>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</si>
  <si>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</si>
  <si>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</si>
  <si>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</si>
  <si>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</si>
  <si>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</si>
  <si>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</si>
  <si>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</si>
  <si>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</si>
  <si>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</si>
  <si>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</si>
  <si>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</si>
  <si>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</si>
  <si>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</si>
  <si>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</si>
  <si>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</si>
  <si>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</si>
  <si>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</si>
  <si>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</si>
  <si>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</si>
  <si>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</si>
  <si>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</si>
  <si>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</si>
  <si>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</si>
  <si>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</si>
  <si>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</si>
  <si>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</si>
  <si>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</si>
  <si>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</si>
  <si>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</si>
  <si>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</si>
  <si>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</si>
  <si>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</si>
  <si>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</si>
  <si>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</si>
  <si>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</si>
  <si>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</si>
  <si>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</si>
  <si>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</si>
  <si>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</si>
  <si>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</si>
  <si>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</si>
  <si>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</si>
  <si>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</si>
  <si>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</si>
  <si>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</si>
  <si>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</si>
  <si>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</si>
  <si>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</si>
  <si>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</si>
  <si>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</si>
  <si>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</si>
  <si>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</si>
  <si>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</si>
  <si>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</si>
  <si>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</si>
  <si>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</si>
  <si>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</si>
  <si>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</si>
  <si>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</si>
  <si>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</si>
  <si>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</si>
  <si>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</si>
  <si>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</si>
  <si>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</si>
  <si>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</si>
  <si>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</si>
  <si>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</si>
  <si>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</si>
  <si>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</si>
  <si>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</si>
  <si>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</si>
  <si>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</si>
  <si>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</si>
  <si>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</si>
  <si>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</si>
  <si>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</si>
  <si>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</si>
  <si>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</si>
  <si>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</si>
  <si>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</si>
  <si>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</si>
  <si>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</si>
  <si>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</si>
  <si>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</si>
  <si>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</si>
  <si>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</si>
  <si>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</si>
  <si>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</si>
  <si>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</si>
  <si>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</si>
  <si>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</si>
  <si>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</si>
  <si>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</si>
  <si>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</si>
  <si>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</si>
  <si>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</si>
  <si>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</si>
  <si>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</si>
  <si>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</si>
  <si>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</si>
  <si>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</si>
  <si>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</si>
  <si>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</si>
  <si>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</si>
  <si>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</si>
  <si>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</si>
  <si>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</si>
  <si>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</si>
  <si>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</si>
  <si>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</si>
  <si>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</si>
  <si>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</si>
  <si>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</si>
  <si>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</si>
  <si>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</si>
  <si>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</si>
  <si>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</si>
  <si>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</si>
  <si>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</si>
  <si>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</si>
  <si>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</si>
  <si>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</si>
  <si>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</si>
  <si>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</si>
  <si>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</si>
  <si>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</si>
  <si>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</si>
  <si>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</si>
  <si>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</si>
  <si>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</si>
  <si>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</si>
  <si>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</si>
  <si>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</si>
  <si>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</si>
  <si>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</si>
  <si>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</si>
  <si>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</si>
  <si>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</si>
  <si>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</si>
  <si>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</si>
  <si>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</si>
  <si>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</si>
  <si>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</si>
  <si>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</si>
  <si>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</si>
  <si>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</si>
  <si>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</si>
  <si>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</si>
  <si>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</si>
  <si>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</si>
  <si>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</si>
  <si>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</si>
  <si>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</si>
  <si>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</si>
  <si>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</si>
  <si>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</si>
  <si>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</si>
  <si>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</si>
  <si>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</si>
  <si>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</si>
  <si>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</si>
  <si>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</si>
  <si>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</si>
  <si>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</si>
  <si>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</si>
  <si>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</si>
  <si>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</si>
  <si>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</si>
  <si>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</si>
  <si>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</si>
  <si>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</si>
  <si>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</si>
  <si>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</si>
  <si>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</si>
  <si>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</si>
  <si>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</si>
  <si>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</si>
  <si>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</si>
  <si>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</si>
  <si>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</si>
  <si>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</si>
  <si>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</si>
  <si>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</si>
  <si>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</si>
  <si>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</si>
  <si>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</si>
  <si>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</si>
  <si>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</si>
  <si>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</si>
  <si>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</si>
  <si>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</si>
  <si>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</si>
  <si>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</si>
  <si>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</si>
  <si>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</si>
  <si>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</si>
  <si>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</si>
  <si>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</si>
  <si>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</si>
  <si>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</si>
  <si>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</si>
  <si>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</si>
  <si>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</si>
  <si>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</si>
  <si>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</si>
  <si>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</si>
  <si>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</si>
  <si>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</si>
  <si>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</si>
  <si>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</si>
  <si>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</si>
  <si>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</si>
  <si>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</si>
  <si>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</si>
  <si>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</si>
  <si>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</si>
  <si>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</si>
  <si>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</si>
  <si>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</si>
  <si>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</si>
  <si>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</si>
  <si>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</si>
  <si>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</si>
  <si>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</si>
  <si>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</si>
  <si>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</si>
  <si>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</si>
  <si>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</si>
  <si>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</si>
  <si>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</si>
  <si>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</si>
  <si>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</si>
  <si>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</si>
  <si>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</si>
  <si>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</si>
  <si>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</si>
  <si>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</si>
  <si>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</si>
  <si>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</si>
  <si>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</si>
  <si>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</si>
  <si>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</si>
  <si>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</si>
  <si>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</si>
  <si>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</si>
  <si>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</si>
  <si>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</si>
  <si>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</si>
  <si>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</si>
  <si>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</si>
  <si>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</si>
  <si>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</si>
  <si>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</si>
  <si>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</si>
  <si>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</si>
  <si>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</si>
  <si>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</si>
  <si>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</si>
  <si>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</si>
  <si>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</si>
  <si>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</si>
  <si>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</si>
  <si>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</si>
  <si>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</si>
  <si>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</si>
  <si>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</si>
  <si>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</si>
  <si>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</si>
  <si>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</si>
  <si>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</si>
  <si>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</si>
  <si>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</si>
  <si>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</si>
  <si>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</si>
  <si>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</si>
  <si>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</si>
  <si>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</si>
  <si>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</si>
  <si>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</si>
  <si>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</si>
  <si>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</si>
  <si>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</si>
  <si>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</si>
  <si>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</si>
  <si>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</si>
  <si>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</si>
  <si>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</si>
  <si>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</si>
  <si>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</si>
  <si>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</si>
  <si>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</si>
  <si>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</si>
  <si>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</si>
  <si>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</si>
  <si>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12021</t>
  </si>
  <si>
    <t>LIER</t>
  </si>
  <si>
    <t>Eandis (januari 2018); Infrax (juni 2018)</t>
  </si>
  <si>
    <t>MOW (september 2017)</t>
  </si>
  <si>
    <t>referentietaak LNE (2017); Jaarverslag De Lijn (2016)</t>
  </si>
  <si>
    <t>VEA (april 2018)</t>
  </si>
  <si>
    <t>VEA (januari 2017)</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</si>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</sst>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245001.21922933773</c:v>
                </c:pt>
                <c:pt idx="1">
                  <c:v>154214.27026376</c:v>
                </c:pt>
                <c:pt idx="2">
                  <c:v>2172.2089999999998</c:v>
                </c:pt>
                <c:pt idx="3">
                  <c:v>115474.0698323353</c:v>
                </c:pt>
                <c:pt idx="4">
                  <c:v>118484.45584325817</c:v>
                </c:pt>
                <c:pt idx="5">
                  <c:v>163896.44732776409</c:v>
                </c:pt>
                <c:pt idx="6">
                  <c:v>4683.7379123625251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464256"/>
        <c:axId val="176465792"/>
      </c:barChart>
      <c:catAx>
        <c:axId val="176464256"/>
        <c:scaling>
          <c:orientation val="minMax"/>
        </c:scaling>
        <c:axPos val="b"/>
        <c:numFmt formatCode="General" sourceLinked="0"/>
        <c:tickLblPos val="nextTo"/>
        <c:crossAx val="176465792"/>
        <c:crosses val="autoZero"/>
        <c:auto val="1"/>
        <c:lblAlgn val="ctr"/>
        <c:lblOffset val="100"/>
      </c:catAx>
      <c:valAx>
        <c:axId val="176465792"/>
        <c:scaling>
          <c:orientation val="minMax"/>
        </c:scaling>
        <c:axPos val="l"/>
        <c:majorGridlines>
          <c:spPr>
            <a:ln>
              <a:noFill/>
            </a:ln>
          </c:spPr>
        </c:majorGridlines>
        <c:numFmt formatCode="#,##0" sourceLinked="1"/>
        <c:tickLblPos val="nextTo"/>
        <c:crossAx val="1764642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245001.21922933773</c:v>
                </c:pt>
                <c:pt idx="1">
                  <c:v>154214.27026376</c:v>
                </c:pt>
                <c:pt idx="2">
                  <c:v>2172.2089999999998</c:v>
                </c:pt>
                <c:pt idx="3">
                  <c:v>115474.0698323353</c:v>
                </c:pt>
                <c:pt idx="4">
                  <c:v>118484.45584325817</c:v>
                </c:pt>
                <c:pt idx="5">
                  <c:v>163896.44732776409</c:v>
                </c:pt>
                <c:pt idx="6">
                  <c:v>4683.7379123625251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46853.344273509436</c:v>
                </c:pt>
                <c:pt idx="2">
                  <c:v>31347.278012360854</c:v>
                </c:pt>
                <c:pt idx="3">
                  <c:v>423.45746275094302</c:v>
                </c:pt>
                <c:pt idx="4">
                  <c:v>24819.668130811679</c:v>
                </c:pt>
                <c:pt idx="5">
                  <c:v>21621.851347423686</c:v>
                </c:pt>
                <c:pt idx="6">
                  <c:v>41049.096131214705</c:v>
                </c:pt>
                <c:pt idx="7">
                  <c:v>1183.349022128541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2080"/>
        <c:axId val="183165312"/>
      </c:barChart>
      <c:catAx>
        <c:axId val="183102080"/>
        <c:scaling>
          <c:orientation val="minMax"/>
        </c:scaling>
        <c:axPos val="b"/>
        <c:numFmt formatCode="General" sourceLinked="0"/>
        <c:tickLblPos val="nextTo"/>
        <c:crossAx val="183165312"/>
        <c:crosses val="autoZero"/>
        <c:auto val="1"/>
        <c:lblAlgn val="ctr"/>
        <c:lblOffset val="100"/>
      </c:catAx>
      <c:valAx>
        <c:axId val="183165312"/>
        <c:scaling>
          <c:orientation val="minMax"/>
        </c:scaling>
        <c:axPos val="l"/>
        <c:majorGridlines>
          <c:spPr>
            <a:ln>
              <a:noFill/>
            </a:ln>
          </c:spPr>
        </c:majorGridlines>
        <c:numFmt formatCode="#,##0" sourceLinked="1"/>
        <c:tickLblPos val="nextTo"/>
        <c:crossAx val="1831020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46853.344273509436</c:v>
                </c:pt>
                <c:pt idx="2">
                  <c:v>31347.278012360854</c:v>
                </c:pt>
                <c:pt idx="3">
                  <c:v>423.45746275094302</c:v>
                </c:pt>
                <c:pt idx="4">
                  <c:v>24819.668130811679</c:v>
                </c:pt>
                <c:pt idx="5">
                  <c:v>21621.851347423686</c:v>
                </c:pt>
                <c:pt idx="6">
                  <c:v>41049.096131214705</c:v>
                </c:pt>
                <c:pt idx="7">
                  <c:v>1183.349022128541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12021</v>
      </c>
      <c r="B6" s="415"/>
      <c r="C6" s="416"/>
    </row>
    <row r="7" spans="1:7" s="413" customFormat="1" ht="15.75" customHeight="1">
      <c r="A7" s="417" t="str">
        <f>txtMunicipality</f>
        <v>LIER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0.19494324107438238</v>
      </c>
      <c r="C17" s="524">
        <f ca="1">'EF ele_warmte'!B22</f>
        <v>0.213582747184386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0.19494324107438238</v>
      </c>
      <c r="C29" s="525">
        <f ca="1">'EF ele_warmte'!B22</f>
        <v>0.213582747184386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15514</v>
      </c>
      <c r="C9" s="342">
        <v>15752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2079.08</v>
      </c>
    </row>
    <row r="15" spans="1:6">
      <c r="A15" s="348" t="s">
        <v>184</v>
      </c>
      <c r="B15" s="334">
        <v>666</v>
      </c>
    </row>
    <row r="16" spans="1:6">
      <c r="A16" s="348" t="s">
        <v>6</v>
      </c>
      <c r="B16" s="334">
        <v>923</v>
      </c>
    </row>
    <row r="17" spans="1:6">
      <c r="A17" s="348" t="s">
        <v>7</v>
      </c>
      <c r="B17" s="334">
        <v>250</v>
      </c>
    </row>
    <row r="18" spans="1:6">
      <c r="A18" s="348" t="s">
        <v>8</v>
      </c>
      <c r="B18" s="334">
        <v>751</v>
      </c>
    </row>
    <row r="19" spans="1:6">
      <c r="A19" s="348" t="s">
        <v>9</v>
      </c>
      <c r="B19" s="334">
        <v>995</v>
      </c>
    </row>
    <row r="20" spans="1:6">
      <c r="A20" s="348" t="s">
        <v>10</v>
      </c>
      <c r="B20" s="334">
        <v>549</v>
      </c>
    </row>
    <row r="21" spans="1:6">
      <c r="A21" s="348" t="s">
        <v>11</v>
      </c>
      <c r="B21" s="334">
        <v>0</v>
      </c>
    </row>
    <row r="22" spans="1:6">
      <c r="A22" s="348" t="s">
        <v>12</v>
      </c>
      <c r="B22" s="334">
        <v>357</v>
      </c>
    </row>
    <row r="23" spans="1:6">
      <c r="A23" s="348" t="s">
        <v>13</v>
      </c>
      <c r="B23" s="334">
        <v>0</v>
      </c>
    </row>
    <row r="24" spans="1:6">
      <c r="A24" s="348" t="s">
        <v>14</v>
      </c>
      <c r="B24" s="334">
        <v>0</v>
      </c>
    </row>
    <row r="25" spans="1:6">
      <c r="A25" s="348" t="s">
        <v>15</v>
      </c>
      <c r="B25" s="334">
        <v>0</v>
      </c>
    </row>
    <row r="26" spans="1:6">
      <c r="A26" s="348" t="s">
        <v>16</v>
      </c>
      <c r="B26" s="334">
        <v>609</v>
      </c>
    </row>
    <row r="27" spans="1:6">
      <c r="A27" s="348" t="s">
        <v>17</v>
      </c>
      <c r="B27" s="334">
        <v>17</v>
      </c>
    </row>
    <row r="28" spans="1:6" s="356" customFormat="1">
      <c r="A28" s="355" t="s">
        <v>18</v>
      </c>
      <c r="B28" s="355">
        <v>104</v>
      </c>
    </row>
    <row r="29" spans="1:6">
      <c r="A29" s="355" t="s">
        <v>744</v>
      </c>
      <c r="B29" s="355">
        <v>414</v>
      </c>
      <c r="C29" s="356"/>
      <c r="D29" s="356"/>
      <c r="E29" s="356"/>
      <c r="F29" s="356"/>
    </row>
    <row r="30" spans="1:6">
      <c r="A30" s="341" t="s">
        <v>745</v>
      </c>
      <c r="B30" s="341">
        <v>66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30422.537367479399</v>
      </c>
    </row>
    <row r="37" spans="1:6">
      <c r="A37" s="348" t="s">
        <v>25</v>
      </c>
      <c r="B37" s="348" t="s">
        <v>28</v>
      </c>
      <c r="C37" s="334">
        <v>0</v>
      </c>
      <c r="D37" s="334">
        <v>0</v>
      </c>
      <c r="E37" s="334">
        <v>0</v>
      </c>
      <c r="F37" s="334">
        <v>0</v>
      </c>
    </row>
    <row r="38" spans="1:6">
      <c r="A38" s="348" t="s">
        <v>25</v>
      </c>
      <c r="B38" s="348" t="s">
        <v>29</v>
      </c>
      <c r="C38" s="334">
        <v>2</v>
      </c>
      <c r="D38" s="334">
        <v>32916045.760798499</v>
      </c>
      <c r="E38" s="334">
        <v>5</v>
      </c>
      <c r="F38" s="334">
        <v>203769.999013191</v>
      </c>
    </row>
    <row r="39" spans="1:6">
      <c r="A39" s="348" t="s">
        <v>30</v>
      </c>
      <c r="B39" s="348" t="s">
        <v>31</v>
      </c>
      <c r="C39" s="334">
        <v>12585</v>
      </c>
      <c r="D39" s="334">
        <v>190755928.10449001</v>
      </c>
      <c r="E39" s="334">
        <v>15639</v>
      </c>
      <c r="F39" s="334">
        <v>53823959.044702001</v>
      </c>
    </row>
    <row r="40" spans="1:6">
      <c r="A40" s="348" t="s">
        <v>30</v>
      </c>
      <c r="B40" s="348" t="s">
        <v>29</v>
      </c>
      <c r="C40" s="334">
        <v>0</v>
      </c>
      <c r="D40" s="334">
        <v>0</v>
      </c>
      <c r="E40" s="334">
        <v>0</v>
      </c>
      <c r="F40" s="334">
        <v>0</v>
      </c>
    </row>
    <row r="41" spans="1:6">
      <c r="A41" s="348" t="s">
        <v>32</v>
      </c>
      <c r="B41" s="348" t="s">
        <v>33</v>
      </c>
      <c r="C41" s="334">
        <v>212</v>
      </c>
      <c r="D41" s="334">
        <v>4421701.6568354499</v>
      </c>
      <c r="E41" s="334">
        <v>338</v>
      </c>
      <c r="F41" s="334">
        <v>4645733.8853310496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23</v>
      </c>
      <c r="D44" s="334">
        <v>880925.02651093004</v>
      </c>
      <c r="E44" s="334">
        <v>52</v>
      </c>
      <c r="F44" s="334">
        <v>31970943.562369902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113807.849900512</v>
      </c>
      <c r="E47" s="334">
        <v>11</v>
      </c>
      <c r="F47" s="334">
        <v>2930805.01186979</v>
      </c>
    </row>
    <row r="48" spans="1:6">
      <c r="A48" s="348" t="s">
        <v>32</v>
      </c>
      <c r="B48" s="348" t="s">
        <v>29</v>
      </c>
      <c r="C48" s="334">
        <v>31</v>
      </c>
      <c r="D48" s="334">
        <v>41370727.635949098</v>
      </c>
      <c r="E48" s="334">
        <v>46</v>
      </c>
      <c r="F48" s="334">
        <v>10018715.2318868</v>
      </c>
    </row>
    <row r="49" spans="1:6">
      <c r="A49" s="348" t="s">
        <v>32</v>
      </c>
      <c r="B49" s="348" t="s">
        <v>40</v>
      </c>
      <c r="C49" s="334">
        <v>3</v>
      </c>
      <c r="D49" s="334">
        <v>162596.45366624201</v>
      </c>
      <c r="E49" s="334">
        <v>0</v>
      </c>
      <c r="F49" s="334">
        <v>0</v>
      </c>
    </row>
    <row r="50" spans="1:6">
      <c r="A50" s="348" t="s">
        <v>32</v>
      </c>
      <c r="B50" s="348" t="s">
        <v>41</v>
      </c>
      <c r="C50" s="334">
        <v>22</v>
      </c>
      <c r="D50" s="334">
        <v>1802173.1424960201</v>
      </c>
      <c r="E50" s="334">
        <v>30</v>
      </c>
      <c r="F50" s="334">
        <v>1016777.03341492</v>
      </c>
    </row>
    <row r="51" spans="1:6">
      <c r="A51" s="348" t="s">
        <v>42</v>
      </c>
      <c r="B51" s="348" t="s">
        <v>43</v>
      </c>
      <c r="C51" s="334">
        <v>29</v>
      </c>
      <c r="D51" s="334">
        <v>195359014.41199899</v>
      </c>
      <c r="E51" s="334">
        <v>117</v>
      </c>
      <c r="F51" s="334">
        <v>2837831.0595856602</v>
      </c>
    </row>
    <row r="52" spans="1:6">
      <c r="A52" s="348" t="s">
        <v>42</v>
      </c>
      <c r="B52" s="348" t="s">
        <v>29</v>
      </c>
      <c r="C52" s="334">
        <v>8</v>
      </c>
      <c r="D52" s="334">
        <v>459731.24100981897</v>
      </c>
      <c r="E52" s="334">
        <v>11</v>
      </c>
      <c r="F52" s="334">
        <v>167689.32527361301</v>
      </c>
    </row>
    <row r="53" spans="1:6">
      <c r="A53" s="348" t="s">
        <v>44</v>
      </c>
      <c r="B53" s="348" t="s">
        <v>45</v>
      </c>
      <c r="C53" s="334">
        <v>407</v>
      </c>
      <c r="D53" s="334">
        <v>10039433.025859199</v>
      </c>
      <c r="E53" s="334">
        <v>819</v>
      </c>
      <c r="F53" s="334">
        <v>3052537.39841408</v>
      </c>
    </row>
    <row r="54" spans="1:6">
      <c r="A54" s="348" t="s">
        <v>46</v>
      </c>
      <c r="B54" s="348" t="s">
        <v>47</v>
      </c>
      <c r="C54" s="334">
        <v>0</v>
      </c>
      <c r="D54" s="334">
        <v>0</v>
      </c>
      <c r="E54" s="334">
        <v>2</v>
      </c>
      <c r="F54" s="334">
        <v>2172209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122</v>
      </c>
      <c r="D57" s="334">
        <v>5847255.1418309296</v>
      </c>
      <c r="E57" s="334">
        <v>209</v>
      </c>
      <c r="F57" s="334">
        <v>6374198.3729296802</v>
      </c>
    </row>
    <row r="58" spans="1:6">
      <c r="A58" s="348" t="s">
        <v>49</v>
      </c>
      <c r="B58" s="348" t="s">
        <v>51</v>
      </c>
      <c r="C58" s="334">
        <v>123</v>
      </c>
      <c r="D58" s="334">
        <v>9242759.5875232797</v>
      </c>
      <c r="E58" s="334">
        <v>155</v>
      </c>
      <c r="F58" s="334">
        <v>8278171.3910865104</v>
      </c>
    </row>
    <row r="59" spans="1:6">
      <c r="A59" s="348" t="s">
        <v>49</v>
      </c>
      <c r="B59" s="348" t="s">
        <v>52</v>
      </c>
      <c r="C59" s="334">
        <v>358</v>
      </c>
      <c r="D59" s="334">
        <v>15278308.7379582</v>
      </c>
      <c r="E59" s="334">
        <v>570</v>
      </c>
      <c r="F59" s="334">
        <v>21900974.785730202</v>
      </c>
    </row>
    <row r="60" spans="1:6">
      <c r="A60" s="348" t="s">
        <v>49</v>
      </c>
      <c r="B60" s="348" t="s">
        <v>53</v>
      </c>
      <c r="C60" s="334">
        <v>165</v>
      </c>
      <c r="D60" s="334">
        <v>9759735.4129578602</v>
      </c>
      <c r="E60" s="334">
        <v>207</v>
      </c>
      <c r="F60" s="334">
        <v>6711089.9936612695</v>
      </c>
    </row>
    <row r="61" spans="1:6">
      <c r="A61" s="348" t="s">
        <v>49</v>
      </c>
      <c r="B61" s="348" t="s">
        <v>54</v>
      </c>
      <c r="C61" s="334">
        <v>455</v>
      </c>
      <c r="D61" s="334">
        <v>23589158.319924202</v>
      </c>
      <c r="E61" s="334">
        <v>943</v>
      </c>
      <c r="F61" s="334">
        <v>15309251.169330301</v>
      </c>
    </row>
    <row r="62" spans="1:6">
      <c r="A62" s="348" t="s">
        <v>49</v>
      </c>
      <c r="B62" s="348" t="s">
        <v>55</v>
      </c>
      <c r="C62" s="334">
        <v>25</v>
      </c>
      <c r="D62" s="334">
        <v>3012312.31319167</v>
      </c>
      <c r="E62" s="334">
        <v>31</v>
      </c>
      <c r="F62" s="334">
        <v>939608.57285977597</v>
      </c>
    </row>
    <row r="63" spans="1:6">
      <c r="A63" s="348" t="s">
        <v>49</v>
      </c>
      <c r="B63" s="348" t="s">
        <v>29</v>
      </c>
      <c r="C63" s="334">
        <v>96</v>
      </c>
      <c r="D63" s="334">
        <v>11450965.298533799</v>
      </c>
      <c r="E63" s="334">
        <v>82</v>
      </c>
      <c r="F63" s="334">
        <v>2534708.9754125802</v>
      </c>
    </row>
    <row r="64" spans="1:6">
      <c r="A64" s="348" t="s">
        <v>56</v>
      </c>
      <c r="B64" s="348" t="s">
        <v>57</v>
      </c>
      <c r="C64" s="334">
        <v>0</v>
      </c>
      <c r="D64" s="334">
        <v>0</v>
      </c>
      <c r="E64" s="334">
        <v>0</v>
      </c>
      <c r="F64" s="334">
        <v>0</v>
      </c>
    </row>
    <row r="65" spans="1:6">
      <c r="A65" s="348" t="s">
        <v>56</v>
      </c>
      <c r="B65" s="348" t="s">
        <v>29</v>
      </c>
      <c r="C65" s="334">
        <v>4</v>
      </c>
      <c r="D65" s="334">
        <v>614486.04719049495</v>
      </c>
      <c r="E65" s="334">
        <v>4</v>
      </c>
      <c r="F65" s="334">
        <v>141030.01890730101</v>
      </c>
    </row>
    <row r="66" spans="1:6">
      <c r="A66" s="348" t="s">
        <v>56</v>
      </c>
      <c r="B66" s="348" t="s">
        <v>58</v>
      </c>
      <c r="C66" s="334">
        <v>0</v>
      </c>
      <c r="D66" s="334">
        <v>0</v>
      </c>
      <c r="E66" s="334">
        <v>12</v>
      </c>
      <c r="F66" s="334">
        <v>489727.35677848599</v>
      </c>
    </row>
    <row r="67" spans="1:6">
      <c r="A67" s="355" t="s">
        <v>56</v>
      </c>
      <c r="B67" s="355" t="s">
        <v>59</v>
      </c>
      <c r="C67" s="334">
        <v>0</v>
      </c>
      <c r="D67" s="334">
        <v>0</v>
      </c>
      <c r="E67" s="334">
        <v>0</v>
      </c>
      <c r="F67" s="334">
        <v>0</v>
      </c>
    </row>
    <row r="68" spans="1:6">
      <c r="A68" s="341" t="s">
        <v>56</v>
      </c>
      <c r="B68" s="341" t="s">
        <v>60</v>
      </c>
      <c r="C68" s="334">
        <v>16</v>
      </c>
      <c r="D68" s="334">
        <v>353334.27894673502</v>
      </c>
      <c r="E68" s="334">
        <v>30</v>
      </c>
      <c r="F68" s="334">
        <v>504170.66454383399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163813402</v>
      </c>
      <c r="E73" s="475">
        <v>153540986.88066113</v>
      </c>
    </row>
    <row r="74" spans="1:6">
      <c r="A74" s="348" t="s">
        <v>64</v>
      </c>
      <c r="B74" s="348" t="s">
        <v>657</v>
      </c>
      <c r="C74" s="1295" t="s">
        <v>659</v>
      </c>
      <c r="D74" s="475">
        <v>19261839</v>
      </c>
      <c r="E74" s="475">
        <v>18663673.341885686</v>
      </c>
    </row>
    <row r="75" spans="1:6">
      <c r="A75" s="348" t="s">
        <v>65</v>
      </c>
      <c r="B75" s="348" t="s">
        <v>656</v>
      </c>
      <c r="C75" s="1295" t="s">
        <v>660</v>
      </c>
      <c r="D75" s="475">
        <v>14978688</v>
      </c>
      <c r="E75" s="475">
        <v>13585865.585800745</v>
      </c>
    </row>
    <row r="76" spans="1:6">
      <c r="A76" s="348" t="s">
        <v>65</v>
      </c>
      <c r="B76" s="348" t="s">
        <v>657</v>
      </c>
      <c r="C76" s="1295" t="s">
        <v>661</v>
      </c>
      <c r="D76" s="475">
        <v>430493</v>
      </c>
      <c r="E76" s="475">
        <v>398520.38017615129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1270308</v>
      </c>
      <c r="C83" s="475">
        <v>1275898.550334669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3825.1972750561831</v>
      </c>
    </row>
    <row r="92" spans="1:6">
      <c r="A92" s="341" t="s">
        <v>69</v>
      </c>
      <c r="B92" s="342">
        <v>6153.8805279447961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0</v>
      </c>
      <c r="C122" s="334">
        <v>0</v>
      </c>
    </row>
    <row r="123" spans="1:6">
      <c r="A123" s="348" t="s">
        <v>88</v>
      </c>
      <c r="B123" s="334">
        <v>32</v>
      </c>
      <c r="C123" s="334">
        <v>61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140</v>
      </c>
    </row>
    <row r="130" spans="1:6">
      <c r="A130" s="348" t="s">
        <v>295</v>
      </c>
      <c r="B130" s="334">
        <v>4</v>
      </c>
    </row>
    <row r="131" spans="1:6">
      <c r="A131" s="348" t="s">
        <v>296</v>
      </c>
      <c r="B131" s="334">
        <v>5</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189155.73848954268</v>
      </c>
      <c r="C3" s="43" t="s">
        <v>170</v>
      </c>
      <c r="D3" s="43"/>
      <c r="E3" s="154"/>
      <c r="F3" s="43"/>
      <c r="G3" s="43"/>
      <c r="H3" s="43"/>
      <c r="I3" s="43"/>
      <c r="J3" s="43"/>
      <c r="K3" s="96"/>
    </row>
    <row r="4" spans="1:11">
      <c r="A4" s="383" t="s">
        <v>171</v>
      </c>
      <c r="B4" s="49">
        <f>IF(ISERROR('SEAP template'!B78+'SEAP template'!C78),0,'SEAP template'!B78+'SEAP template'!C78)</f>
        <v>90781.077803000982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15133.832717244037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0.19494324107438238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20842.48763989882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97585.07142857142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0.213582747184386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2172.2089999999998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2172.2089999999998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0.19494324107438238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423.45746275094302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53823.959044702002</v>
      </c>
      <c r="C5" s="17">
        <f>IF(ISERROR('Eigen informatie GS &amp; warmtenet'!B57),0,'Eigen informatie GS &amp; warmtenet'!B57)</f>
        <v>0</v>
      </c>
      <c r="D5" s="30">
        <f>(SUM(HH_hh_gas_kWh,HH_rest_gas_kWh)/1000)*0.902</f>
        <v>172061.84715024999</v>
      </c>
      <c r="E5" s="17">
        <f>B46*B57</f>
        <v>3782.10471798048</v>
      </c>
      <c r="F5" s="17">
        <f>B51*B62</f>
        <v>0</v>
      </c>
      <c r="G5" s="18"/>
      <c r="H5" s="17"/>
      <c r="I5" s="17"/>
      <c r="J5" s="17">
        <f>B50*B61+C50*C61</f>
        <v>0</v>
      </c>
      <c r="K5" s="17"/>
      <c r="L5" s="17"/>
      <c r="M5" s="17"/>
      <c r="N5" s="17">
        <f>B48*B59+C48*C59</f>
        <v>9840.1477080157092</v>
      </c>
      <c r="O5" s="17">
        <f>B69*B70*B71</f>
        <v>314.23</v>
      </c>
      <c r="P5" s="17">
        <f>B77*B78*B79/1000-B77*B78*B79/1000/B80</f>
        <v>1353.7333333333333</v>
      </c>
    </row>
    <row r="6" spans="1:16">
      <c r="A6" s="16" t="s">
        <v>621</v>
      </c>
      <c r="B6" s="788">
        <f>kWh_PV_kleiner_dan_10kW</f>
        <v>3825.1972750561831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57649.156319758185</v>
      </c>
      <c r="C8" s="21">
        <f>C5</f>
        <v>0</v>
      </c>
      <c r="D8" s="21">
        <f>D5</f>
        <v>172061.84715024999</v>
      </c>
      <c r="E8" s="21">
        <f>E5</f>
        <v>3782.10471798048</v>
      </c>
      <c r="F8" s="21">
        <f>F5</f>
        <v>0</v>
      </c>
      <c r="G8" s="21"/>
      <c r="H8" s="21"/>
      <c r="I8" s="21"/>
      <c r="J8" s="21">
        <f>J5</f>
        <v>0</v>
      </c>
      <c r="K8" s="21"/>
      <c r="L8" s="21">
        <f>L5</f>
        <v>0</v>
      </c>
      <c r="M8" s="21">
        <f>M5</f>
        <v>0</v>
      </c>
      <c r="N8" s="21">
        <f>N5</f>
        <v>9840.1477080157092</v>
      </c>
      <c r="O8" s="21">
        <f>O5</f>
        <v>314.23</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0.19494324107438238</v>
      </c>
      <c r="C10" s="25">
        <f ca="1">'EF ele_warmte'!B22</f>
        <v>0.213582747184386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11238.313378177374</v>
      </c>
      <c r="C12" s="23">
        <f ca="1">C10*C8</f>
        <v>0</v>
      </c>
      <c r="D12" s="23">
        <f>D8*D10</f>
        <v>34756.493124350498</v>
      </c>
      <c r="E12" s="23">
        <f>E10*E8</f>
        <v>858.537770981569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15514</v>
      </c>
      <c r="C28" s="36"/>
      <c r="D28" s="228"/>
    </row>
    <row r="29" spans="1:7" s="15" customFormat="1">
      <c r="A29" s="230" t="s">
        <v>794</v>
      </c>
      <c r="B29" s="37">
        <f>SUM(HH_hh_gas_aantal,HH_rest_gas_aantal)</f>
        <v>12585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12585</v>
      </c>
      <c r="C32" s="167">
        <f>IF(ISERROR(B32/SUM($B$32,$B$34,$B$35,$B$36,$B$38,$B$39)*100),0,B32/SUM($B$32,$B$34,$B$35,$B$36,$B$38,$B$39)*100)</f>
        <v>81.493233180081589</v>
      </c>
      <c r="D32" s="233"/>
      <c r="G32" s="15"/>
    </row>
    <row r="33" spans="1:7">
      <c r="A33" s="171" t="s">
        <v>72</v>
      </c>
      <c r="B33" s="34" t="s">
        <v>111</v>
      </c>
      <c r="C33" s="167"/>
      <c r="D33" s="233"/>
      <c r="G33" s="15"/>
    </row>
    <row r="34" spans="1:7">
      <c r="A34" s="171" t="s">
        <v>73</v>
      </c>
      <c r="B34" s="33">
        <f>IF((($B$28-$B$32-$B$39-$B$77-$B$38)*C20/100)&lt;0,0,($B$28-$B$32-$B$39-$B$77-$B$38)*C20/100)</f>
        <v>178.625</v>
      </c>
      <c r="C34" s="167">
        <f>IF(ISERROR(B34/SUM($B$32,$B$34,$B$35,$B$36,$B$38,$B$39)*100),0,B34/SUM($B$32,$B$34,$B$35,$B$36,$B$38,$B$39)*100)</f>
        <v>1.1566729262449007</v>
      </c>
      <c r="D34" s="233"/>
      <c r="G34" s="15"/>
    </row>
    <row r="35" spans="1:7">
      <c r="A35" s="171" t="s">
        <v>74</v>
      </c>
      <c r="B35" s="33">
        <f>IF((($B$28-$B$32-$B$39-$B$77-$B$38)*C21/100)&lt;0,0,($B$28-$B$32-$B$39-$B$77-$B$38)*C21/100)</f>
        <v>2543.0053763440865</v>
      </c>
      <c r="C35" s="167">
        <f>IF(ISERROR(B35/SUM($B$32,$B$34,$B$35,$B$36,$B$38,$B$39)*100),0,B35/SUM($B$32,$B$34,$B$35,$B$36,$B$38,$B$39)*100)</f>
        <v>16.467042519873644</v>
      </c>
      <c r="D35" s="233"/>
      <c r="G35" s="15"/>
    </row>
    <row r="36" spans="1:7">
      <c r="A36" s="171" t="s">
        <v>75</v>
      </c>
      <c r="B36" s="33">
        <f>IF((($B$28-$B$32-$B$39-$B$77-$B$38)*C22/100)&lt;0,0,($B$28-$B$32-$B$39-$B$77-$B$38)*C22/100)</f>
        <v>136.36962365591398</v>
      </c>
      <c r="C36" s="167">
        <f>IF(ISERROR(B36/SUM($B$32,$B$34,$B$35,$B$36,$B$38,$B$39)*100),0,B36/SUM($B$32,$B$34,$B$35,$B$36,$B$38,$B$39)*100)</f>
        <v>0.88305137379987042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12585</v>
      </c>
      <c r="C44" s="34" t="s">
        <v>111</v>
      </c>
      <c r="D44" s="174"/>
    </row>
    <row r="45" spans="1:7">
      <c r="A45" s="171" t="s">
        <v>72</v>
      </c>
      <c r="B45" s="33" t="str">
        <f t="shared" si="0"/>
        <v>-</v>
      </c>
      <c r="C45" s="34" t="s">
        <v>111</v>
      </c>
      <c r="D45" s="174"/>
    </row>
    <row r="46" spans="1:7">
      <c r="A46" s="171" t="s">
        <v>73</v>
      </c>
      <c r="B46" s="33">
        <f t="shared" si="0"/>
        <v>178.625</v>
      </c>
      <c r="C46" s="34" t="s">
        <v>111</v>
      </c>
      <c r="D46" s="174"/>
    </row>
    <row r="47" spans="1:7">
      <c r="A47" s="171" t="s">
        <v>74</v>
      </c>
      <c r="B47" s="33">
        <f t="shared" si="0"/>
        <v>2543.0053763440865</v>
      </c>
      <c r="C47" s="34" t="s">
        <v>111</v>
      </c>
      <c r="D47" s="174"/>
    </row>
    <row r="48" spans="1:7">
      <c r="A48" s="171" t="s">
        <v>75</v>
      </c>
      <c r="B48" s="33">
        <f t="shared" si="0"/>
        <v>136.36962365591398</v>
      </c>
      <c r="C48" s="33">
        <f>B48*10</f>
        <v>1363.6962365591398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62048.003261010315</v>
      </c>
      <c r="C5" s="17">
        <f>IF(ISERROR('Eigen informatie GS &amp; warmtenet'!B58),0,'Eigen informatie GS &amp; warmtenet'!B58)</f>
        <v>0</v>
      </c>
      <c r="D5" s="30">
        <f>SUM(D6:D12)</f>
        <v>70518.806320351781</v>
      </c>
      <c r="E5" s="17">
        <f>SUM(E6:E12)</f>
        <v>944.31256220071134</v>
      </c>
      <c r="F5" s="17">
        <f>SUM(F6:F12)</f>
        <v>10869.216956808294</v>
      </c>
      <c r="G5" s="18"/>
      <c r="H5" s="17"/>
      <c r="I5" s="17"/>
      <c r="J5" s="17">
        <f>SUM(J6:J12)</f>
        <v>0.1444967222597891</v>
      </c>
      <c r="K5" s="17"/>
      <c r="L5" s="17"/>
      <c r="M5" s="17"/>
      <c r="N5" s="17">
        <f>SUM(N6:N12)</f>
        <v>5835.850705548839</v>
      </c>
      <c r="O5" s="17">
        <f>B38*B39*B40</f>
        <v>6.2533333333333339</v>
      </c>
      <c r="P5" s="17">
        <f>B46*B47*B48/1000-B46*B47*B48/1000/B49</f>
        <v>152.53333333333333</v>
      </c>
      <c r="R5" s="32"/>
    </row>
    <row r="6" spans="1:18">
      <c r="A6" s="32" t="s">
        <v>54</v>
      </c>
      <c r="B6" s="37">
        <f>B26</f>
        <v>15309.2511693303</v>
      </c>
      <c r="C6" s="33"/>
      <c r="D6" s="37">
        <f>IF(ISERROR(TER_kantoor_gas_kWh/1000),0,TER_kantoor_gas_kWh/1000)*0.902</f>
        <v>21277.42080457163</v>
      </c>
      <c r="E6" s="33">
        <f>$C$26*'E Balans VL '!I12/100/3.6*1000000</f>
        <v>9.5953294552193286E-2</v>
      </c>
      <c r="F6" s="33">
        <f>$C$26*('E Balans VL '!L12+'E Balans VL '!N12)/100/3.6*1000000</f>
        <v>2300.5526694735636</v>
      </c>
      <c r="G6" s="34"/>
      <c r="H6" s="33"/>
      <c r="I6" s="33"/>
      <c r="J6" s="33">
        <f>$C$26*('E Balans VL '!D12+'E Balans VL '!E12)/100/3.6*1000000</f>
        <v>0</v>
      </c>
      <c r="K6" s="33"/>
      <c r="L6" s="33"/>
      <c r="M6" s="33"/>
      <c r="N6" s="33">
        <f>$C$26*'E Balans VL '!Y12/100/3.6*1000000</f>
        <v>14.64102889787627</v>
      </c>
      <c r="O6" s="33"/>
      <c r="P6" s="33"/>
      <c r="R6" s="32"/>
    </row>
    <row r="7" spans="1:18">
      <c r="A7" s="32" t="s">
        <v>53</v>
      </c>
      <c r="B7" s="37">
        <f t="shared" ref="B7:B12" si="0">B27</f>
        <v>6711.0899936612695</v>
      </c>
      <c r="C7" s="33"/>
      <c r="D7" s="37">
        <f>IF(ISERROR(TER_horeca_gas_kWh/1000),0,TER_horeca_gas_kWh/1000)*0.902</f>
        <v>8803.2813424879896</v>
      </c>
      <c r="E7" s="33">
        <f>$C$27*'E Balans VL '!I9/100/3.6*1000000</f>
        <v>96.101690855032672</v>
      </c>
      <c r="F7" s="33">
        <f>$C$27*('E Balans VL '!L9+'E Balans VL '!N9)/100/3.6*1000000</f>
        <v>849.84533347283298</v>
      </c>
      <c r="G7" s="34"/>
      <c r="H7" s="33"/>
      <c r="I7" s="33"/>
      <c r="J7" s="33">
        <f>$C$27*('E Balans VL '!D9+'E Balans VL '!E9)/100/3.6*1000000</f>
        <v>0</v>
      </c>
      <c r="K7" s="33"/>
      <c r="L7" s="33"/>
      <c r="M7" s="33"/>
      <c r="N7" s="33">
        <f>$C$27*'E Balans VL '!Y9/100/3.6*1000000</f>
        <v>1.9292904063446781</v>
      </c>
      <c r="O7" s="33"/>
      <c r="P7" s="33"/>
      <c r="R7" s="32"/>
    </row>
    <row r="8" spans="1:18">
      <c r="A8" s="6" t="s">
        <v>52</v>
      </c>
      <c r="B8" s="37">
        <f t="shared" si="0"/>
        <v>21900.974785730203</v>
      </c>
      <c r="C8" s="33"/>
      <c r="D8" s="37">
        <f>IF(ISERROR(TER_handel_gas_kWh/1000),0,TER_handel_gas_kWh/1000)*0.902</f>
        <v>13781.034481638299</v>
      </c>
      <c r="E8" s="33">
        <f>$C$28*'E Balans VL '!I13/100/3.6*1000000</f>
        <v>794.34565477121953</v>
      </c>
      <c r="F8" s="33">
        <f>$C$28*('E Balans VL '!L13+'E Balans VL '!N13)/100/3.6*1000000</f>
        <v>4218.3495052004955</v>
      </c>
      <c r="G8" s="34"/>
      <c r="H8" s="33"/>
      <c r="I8" s="33"/>
      <c r="J8" s="33">
        <f>$C$28*('E Balans VL '!D13+'E Balans VL '!E13)/100/3.6*1000000</f>
        <v>0</v>
      </c>
      <c r="K8" s="33"/>
      <c r="L8" s="33"/>
      <c r="M8" s="33"/>
      <c r="N8" s="33">
        <f>$C$28*'E Balans VL '!Y13/100/3.6*1000000</f>
        <v>30.3378892677934</v>
      </c>
      <c r="O8" s="33"/>
      <c r="P8" s="33"/>
      <c r="R8" s="32"/>
    </row>
    <row r="9" spans="1:18">
      <c r="A9" s="32" t="s">
        <v>51</v>
      </c>
      <c r="B9" s="37">
        <f t="shared" si="0"/>
        <v>8278.171391086511</v>
      </c>
      <c r="C9" s="33"/>
      <c r="D9" s="37">
        <f>IF(ISERROR(TER_gezond_gas_kWh/1000),0,TER_gezond_gas_kWh/1000)*0.902</f>
        <v>8336.969147945998</v>
      </c>
      <c r="E9" s="33">
        <f>$C$29*'E Balans VL '!I10/100/3.6*1000000</f>
        <v>0.51829526125873104</v>
      </c>
      <c r="F9" s="33">
        <f>$C$29*('E Balans VL '!L10+'E Balans VL '!N10)/100/3.6*1000000</f>
        <v>1229.7475647774252</v>
      </c>
      <c r="G9" s="34"/>
      <c r="H9" s="33"/>
      <c r="I9" s="33"/>
      <c r="J9" s="33">
        <f>$C$29*('E Balans VL '!D10+'E Balans VL '!E10)/100/3.6*1000000</f>
        <v>0</v>
      </c>
      <c r="K9" s="33"/>
      <c r="L9" s="33"/>
      <c r="M9" s="33"/>
      <c r="N9" s="33">
        <f>$C$29*'E Balans VL '!Y10/100/3.6*1000000</f>
        <v>128.04755385258593</v>
      </c>
      <c r="O9" s="33"/>
      <c r="P9" s="33"/>
      <c r="R9" s="32"/>
    </row>
    <row r="10" spans="1:18">
      <c r="A10" s="32" t="s">
        <v>50</v>
      </c>
      <c r="B10" s="37">
        <f t="shared" si="0"/>
        <v>6374.1983729296799</v>
      </c>
      <c r="C10" s="33"/>
      <c r="D10" s="37">
        <f>IF(ISERROR(TER_ander_gas_kWh/1000),0,TER_ander_gas_kWh/1000)*0.902</f>
        <v>5274.2241379314983</v>
      </c>
      <c r="E10" s="33">
        <f>$C$30*'E Balans VL '!I14/100/3.6*1000000</f>
        <v>7.5978166851696036</v>
      </c>
      <c r="F10" s="33">
        <f>$C$30*('E Balans VL '!L14+'E Balans VL '!N14)/100/3.6*1000000</f>
        <v>1667.773668960933</v>
      </c>
      <c r="G10" s="34"/>
      <c r="H10" s="33"/>
      <c r="I10" s="33"/>
      <c r="J10" s="33">
        <f>$C$30*('E Balans VL '!D14+'E Balans VL '!E14)/100/3.6*1000000</f>
        <v>0.13835886050859852</v>
      </c>
      <c r="K10" s="33"/>
      <c r="L10" s="33"/>
      <c r="M10" s="33"/>
      <c r="N10" s="33">
        <f>$C$30*'E Balans VL '!Y14/100/3.6*1000000</f>
        <v>5412.8132838531947</v>
      </c>
      <c r="O10" s="33"/>
      <c r="P10" s="33"/>
      <c r="R10" s="32"/>
    </row>
    <row r="11" spans="1:18">
      <c r="A11" s="32" t="s">
        <v>55</v>
      </c>
      <c r="B11" s="37">
        <f t="shared" si="0"/>
        <v>939.60857285977602</v>
      </c>
      <c r="C11" s="33"/>
      <c r="D11" s="37">
        <f>IF(ISERROR(TER_onderwijs_gas_kWh/1000),0,TER_onderwijs_gas_kWh/1000)*0.902</f>
        <v>2717.1057064988863</v>
      </c>
      <c r="E11" s="33">
        <f>$C$31*'E Balans VL '!I11/100/3.6*1000000</f>
        <v>14.177179980940256</v>
      </c>
      <c r="F11" s="33">
        <f>$C$31*('E Balans VL '!L11+'E Balans VL '!N11)/100/3.6*1000000</f>
        <v>164.63443265854733</v>
      </c>
      <c r="G11" s="34"/>
      <c r="H11" s="33"/>
      <c r="I11" s="33"/>
      <c r="J11" s="33">
        <f>$C$31*('E Balans VL '!D11+'E Balans VL '!E11)/100/3.6*1000000</f>
        <v>0</v>
      </c>
      <c r="K11" s="33"/>
      <c r="L11" s="33"/>
      <c r="M11" s="33"/>
      <c r="N11" s="33">
        <f>$C$31*'E Balans VL '!Y11/100/3.6*1000000</f>
        <v>2.644129955791374</v>
      </c>
      <c r="O11" s="33"/>
      <c r="P11" s="33"/>
      <c r="R11" s="32"/>
    </row>
    <row r="12" spans="1:18">
      <c r="A12" s="32" t="s">
        <v>260</v>
      </c>
      <c r="B12" s="37">
        <f t="shared" si="0"/>
        <v>2534.70897541258</v>
      </c>
      <c r="C12" s="33"/>
      <c r="D12" s="37">
        <f>IF(ISERROR(TER_rest_gas_kWh/1000),0,TER_rest_gas_kWh/1000)*0.902</f>
        <v>10328.770699277487</v>
      </c>
      <c r="E12" s="33">
        <f>$C$32*'E Balans VL '!I8/100/3.6*1000000</f>
        <v>31.475971352538291</v>
      </c>
      <c r="F12" s="33">
        <f>$C$32*('E Balans VL '!L8+'E Balans VL '!N8)/100/3.6*1000000</f>
        <v>438.31378226449516</v>
      </c>
      <c r="G12" s="34"/>
      <c r="H12" s="33"/>
      <c r="I12" s="33"/>
      <c r="J12" s="33">
        <f>$C$32*('E Balans VL '!D8+'E Balans VL '!E8)/100/3.6*1000000</f>
        <v>6.1378617511905842E-3</v>
      </c>
      <c r="K12" s="33"/>
      <c r="L12" s="33"/>
      <c r="M12" s="33"/>
      <c r="N12" s="33">
        <f>$C$32*'E Balans VL '!Y8/100/3.6*1000000</f>
        <v>245.43752931525324</v>
      </c>
      <c r="O12" s="33"/>
      <c r="P12" s="33"/>
      <c r="R12" s="32"/>
    </row>
    <row r="13" spans="1:18">
      <c r="A13" s="16" t="s">
        <v>488</v>
      </c>
      <c r="B13" s="247">
        <f ca="1">'lokale energieproductie'!N91+'lokale energieproductie'!N60</f>
        <v>10575</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-28414.285714285717</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72623.003261010308</v>
      </c>
      <c r="C16" s="21">
        <f t="shared" ca="1" si="1"/>
        <v>900.00000000000023</v>
      </c>
      <c r="D16" s="21">
        <f t="shared" ca="1" si="1"/>
        <v>68718.806320351781</v>
      </c>
      <c r="E16" s="21">
        <f t="shared" si="1"/>
        <v>944.31256220071134</v>
      </c>
      <c r="F16" s="21">
        <f t="shared" ca="1" si="1"/>
        <v>10869.216956808294</v>
      </c>
      <c r="G16" s="21">
        <f t="shared" si="1"/>
        <v>0</v>
      </c>
      <c r="H16" s="21">
        <f t="shared" si="1"/>
        <v>0</v>
      </c>
      <c r="I16" s="21">
        <f t="shared" si="1"/>
        <v>0</v>
      </c>
      <c r="J16" s="21">
        <f t="shared" si="1"/>
        <v>0.1444967222597891</v>
      </c>
      <c r="K16" s="21">
        <f t="shared" si="1"/>
        <v>0</v>
      </c>
      <c r="L16" s="21">
        <f t="shared" ca="1" si="1"/>
        <v>0</v>
      </c>
      <c r="M16" s="21">
        <f t="shared" si="1"/>
        <v>0</v>
      </c>
      <c r="N16" s="21">
        <f t="shared" ca="1" si="1"/>
        <v>0</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0.19494324107438238</v>
      </c>
      <c r="C18" s="25">
        <f ca="1">'EF ele_warmte'!B22</f>
        <v>0.213582747184386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14157.363632256791</v>
      </c>
      <c r="C20" s="23">
        <f t="shared" ref="C20:P20" ca="1" si="2">C16*C18</f>
        <v>192.22447246594746</v>
      </c>
      <c r="D20" s="23">
        <f t="shared" ca="1" si="2"/>
        <v>13881.198876711062</v>
      </c>
      <c r="E20" s="23">
        <f t="shared" si="2"/>
        <v>214.35895161956148</v>
      </c>
      <c r="F20" s="23">
        <f t="shared" ca="1" si="2"/>
        <v>2902.0809274678145</v>
      </c>
      <c r="G20" s="23">
        <f t="shared" si="2"/>
        <v>0</v>
      </c>
      <c r="H20" s="23">
        <f t="shared" si="2"/>
        <v>0</v>
      </c>
      <c r="I20" s="23">
        <f t="shared" si="2"/>
        <v>0</v>
      </c>
      <c r="J20" s="23">
        <f t="shared" si="2"/>
        <v>5.1151839679965339E-2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15309.2511693303</v>
      </c>
      <c r="C26" s="39">
        <f>IF(ISERROR(B26*3.6/1000000/'E Balans VL '!Z12*100),0,B26*3.6/1000000/'E Balans VL '!Z12*100)</f>
        <v>0.3236133179068485</v>
      </c>
      <c r="D26" s="237" t="s">
        <v>754</v>
      </c>
      <c r="F26" s="6"/>
    </row>
    <row r="27" spans="1:18">
      <c r="A27" s="231" t="s">
        <v>53</v>
      </c>
      <c r="B27" s="33">
        <f>IF(ISERROR(TER_horeca_ele_kWh/1000),0,TER_horeca_ele_kWh/1000)</f>
        <v>6711.0899936612695</v>
      </c>
      <c r="C27" s="39">
        <f>IF(ISERROR(B27*3.6/1000000/'E Balans VL '!Z9*100),0,B27*3.6/1000000/'E Balans VL '!Z9*100)</f>
        <v>0.52903272284937863</v>
      </c>
      <c r="D27" s="237" t="s">
        <v>754</v>
      </c>
      <c r="F27" s="6"/>
    </row>
    <row r="28" spans="1:18">
      <c r="A28" s="171" t="s">
        <v>52</v>
      </c>
      <c r="B28" s="33">
        <f>IF(ISERROR(TER_handel_ele_kWh/1000),0,TER_handel_ele_kWh/1000)</f>
        <v>21900.974785730203</v>
      </c>
      <c r="C28" s="39">
        <f>IF(ISERROR(B28*3.6/1000000/'E Balans VL '!Z13*100),0,B28*3.6/1000000/'E Balans VL '!Z13*100)</f>
        <v>0.63565477813585303</v>
      </c>
      <c r="D28" s="237" t="s">
        <v>754</v>
      </c>
      <c r="F28" s="6"/>
    </row>
    <row r="29" spans="1:18">
      <c r="A29" s="231" t="s">
        <v>51</v>
      </c>
      <c r="B29" s="33">
        <f>IF(ISERROR(TER_gezond_ele_kWh/1000),0,TER_gezond_ele_kWh/1000)</f>
        <v>8278.171391086511</v>
      </c>
      <c r="C29" s="39">
        <f>IF(ISERROR(B29*3.6/1000000/'E Balans VL '!Z10*100),0,B29*3.6/1000000/'E Balans VL '!Z10*100)</f>
        <v>0.87182737864370863</v>
      </c>
      <c r="D29" s="237" t="s">
        <v>754</v>
      </c>
      <c r="F29" s="6"/>
    </row>
    <row r="30" spans="1:18">
      <c r="A30" s="231" t="s">
        <v>50</v>
      </c>
      <c r="B30" s="33">
        <f>IF(ISERROR(TER_ander_ele_kWh/1000),0,TER_ander_ele_kWh/1000)</f>
        <v>6374.1983729296799</v>
      </c>
      <c r="C30" s="39">
        <f>IF(ISERROR(B30*3.6/1000000/'E Balans VL '!Z14*100),0,B30*3.6/1000000/'E Balans VL '!Z14*100)</f>
        <v>0.47016225645629295</v>
      </c>
      <c r="D30" s="237" t="s">
        <v>754</v>
      </c>
      <c r="F30" s="6"/>
    </row>
    <row r="31" spans="1:18">
      <c r="A31" s="231" t="s">
        <v>55</v>
      </c>
      <c r="B31" s="33">
        <f>IF(ISERROR(TER_onderwijs_ele_kWh/1000),0,TER_onderwijs_ele_kWh/1000)</f>
        <v>939.60857285977602</v>
      </c>
      <c r="C31" s="39">
        <f>IF(ISERROR(B31*3.6/1000000/'E Balans VL '!Z11*100),0,B31*3.6/1000000/'E Balans VL '!Z11*100)</f>
        <v>0.2333488224987019</v>
      </c>
      <c r="D31" s="237" t="s">
        <v>754</v>
      </c>
    </row>
    <row r="32" spans="1:18">
      <c r="A32" s="231" t="s">
        <v>260</v>
      </c>
      <c r="B32" s="33">
        <f>IF(ISERROR(TER_rest_ele_kWh/1000),0,TER_rest_ele_kWh/1000)</f>
        <v>2534.70897541258</v>
      </c>
      <c r="C32" s="39">
        <f>IF(ISERROR(B32*3.6/1000000/'E Balans VL '!Z8*100),0,B32*3.6/1000000/'E Balans VL '!Z8*100)</f>
        <v>2.0857290383489366E-2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50582.97472487246</v>
      </c>
      <c r="C5" s="17">
        <f>IF(ISERROR('Eigen informatie GS &amp; warmtenet'!B59),0,'Eigen informatie GS &amp; warmtenet'!B59)</f>
        <v>0</v>
      </c>
      <c r="D5" s="30">
        <f>SUM(D6:D15)</f>
        <v>43974.242452353152</v>
      </c>
      <c r="E5" s="17">
        <f>SUM(E6:E15)</f>
        <v>2211.4823460821472</v>
      </c>
      <c r="F5" s="17">
        <f>SUM(F6:F15)</f>
        <v>8851.6162277385065</v>
      </c>
      <c r="G5" s="18"/>
      <c r="H5" s="17"/>
      <c r="I5" s="17"/>
      <c r="J5" s="17">
        <f>SUM(J6:J15)</f>
        <v>36.320086529155084</v>
      </c>
      <c r="K5" s="17"/>
      <c r="L5" s="17"/>
      <c r="M5" s="17"/>
      <c r="N5" s="17">
        <f>SUM(N6:N15)</f>
        <v>12827.820005682745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31970.943562369903</v>
      </c>
      <c r="C8" s="33"/>
      <c r="D8" s="37">
        <f>IF( ISERROR(IND_metaal_Gas_kWH/1000),0,IND_metaal_Gas_kWH/1000)*0.902</f>
        <v>794.59437391285894</v>
      </c>
      <c r="E8" s="33">
        <f>C30*'E Balans VL '!I18/100/3.6*1000000</f>
        <v>293.9419482250496</v>
      </c>
      <c r="F8" s="33">
        <f>C30*'E Balans VL '!L18/100/3.6*1000000+C30*'E Balans VL '!N18/100/3.6*1000000</f>
        <v>2997.8100856935866</v>
      </c>
      <c r="G8" s="34"/>
      <c r="H8" s="33"/>
      <c r="I8" s="33"/>
      <c r="J8" s="40">
        <f>C30*'E Balans VL '!D18/100/3.6*1000000+C30*'E Balans VL '!E18/100/3.6*1000000</f>
        <v>0</v>
      </c>
      <c r="K8" s="33"/>
      <c r="L8" s="33"/>
      <c r="M8" s="33"/>
      <c r="N8" s="33">
        <f>C30*'E Balans VL '!Y18/100/3.6*1000000</f>
        <v>456.11834412634744</v>
      </c>
      <c r="O8" s="33"/>
      <c r="P8" s="33"/>
      <c r="R8" s="32"/>
    </row>
    <row r="9" spans="1:18">
      <c r="A9" s="6" t="s">
        <v>33</v>
      </c>
      <c r="B9" s="37">
        <f t="shared" si="0"/>
        <v>4645.7338853310494</v>
      </c>
      <c r="C9" s="33"/>
      <c r="D9" s="37">
        <f>IF( ISERROR(IND_andere_gas_kWh/1000),0,IND_andere_gas_kWh/1000)*0.902</f>
        <v>3988.3748944655763</v>
      </c>
      <c r="E9" s="33">
        <f>C31*'E Balans VL '!I19/100/3.6*1000000</f>
        <v>1358.0384564534679</v>
      </c>
      <c r="F9" s="33">
        <f>C31*'E Balans VL '!L19/100/3.6*1000000+C31*'E Balans VL '!N19/100/3.6*1000000</f>
        <v>3733.198826606957</v>
      </c>
      <c r="G9" s="34"/>
      <c r="H9" s="33"/>
      <c r="I9" s="33"/>
      <c r="J9" s="40">
        <f>C31*'E Balans VL '!D19/100/3.6*1000000+C31*'E Balans VL '!E19/100/3.6*1000000</f>
        <v>0</v>
      </c>
      <c r="K9" s="33"/>
      <c r="L9" s="33"/>
      <c r="M9" s="33"/>
      <c r="N9" s="33">
        <f>C31*'E Balans VL '!Y19/100/3.6*1000000</f>
        <v>1535.0225259375752</v>
      </c>
      <c r="O9" s="33"/>
      <c r="P9" s="33"/>
      <c r="R9" s="32"/>
    </row>
    <row r="10" spans="1:18">
      <c r="A10" s="6" t="s">
        <v>41</v>
      </c>
      <c r="B10" s="37">
        <f t="shared" si="0"/>
        <v>1016.77703341492</v>
      </c>
      <c r="C10" s="33"/>
      <c r="D10" s="37">
        <f>IF( ISERROR(IND_voed_gas_kWh/1000),0,IND_voed_gas_kWh/1000)*0.902</f>
        <v>1625.5601745314102</v>
      </c>
      <c r="E10" s="33">
        <f>C32*'E Balans VL '!I20/100/3.6*1000000</f>
        <v>2.1510075795038883</v>
      </c>
      <c r="F10" s="33">
        <f>C32*'E Balans VL '!L20/100/3.6*1000000+C32*'E Balans VL '!N20/100/3.6*1000000</f>
        <v>64.647722391803541</v>
      </c>
      <c r="G10" s="34"/>
      <c r="H10" s="33"/>
      <c r="I10" s="33"/>
      <c r="J10" s="40">
        <f>C32*'E Balans VL '!D20/100/3.6*1000000+C32*'E Balans VL '!E20/100/3.6*1000000</f>
        <v>0</v>
      </c>
      <c r="K10" s="33"/>
      <c r="L10" s="33"/>
      <c r="M10" s="33"/>
      <c r="N10" s="33">
        <f>C32*'E Balans VL '!Y20/100/3.6*1000000</f>
        <v>70.167649106566941</v>
      </c>
      <c r="O10" s="33"/>
      <c r="P10" s="33"/>
      <c r="R10" s="32"/>
    </row>
    <row r="11" spans="1:18">
      <c r="A11" s="6" t="s">
        <v>40</v>
      </c>
      <c r="B11" s="37">
        <f t="shared" si="0"/>
        <v>0</v>
      </c>
      <c r="C11" s="33"/>
      <c r="D11" s="37">
        <f>IF( ISERROR(IND_textiel_gas_kWh/1000),0,IND_textiel_gas_kWh/1000)*0.902</f>
        <v>146.66200120695029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2930.8050118697902</v>
      </c>
      <c r="C13" s="33"/>
      <c r="D13" s="37">
        <f>IF( ISERROR(IND_papier_gas_kWh/1000),0,IND_papier_gas_kWh/1000)*0.902</f>
        <v>102.65468061026182</v>
      </c>
      <c r="E13" s="33">
        <f>C35*'E Balans VL '!I23/100/3.6*1000000</f>
        <v>4.1581420419403106</v>
      </c>
      <c r="F13" s="33">
        <f>C35*'E Balans VL '!L23/100/3.6*1000000+C35*'E Balans VL '!N23/100/3.6*1000000</f>
        <v>71.551970877128866</v>
      </c>
      <c r="G13" s="34"/>
      <c r="H13" s="33"/>
      <c r="I13" s="33"/>
      <c r="J13" s="40">
        <f>C35*'E Balans VL '!D23/100/3.6*1000000+C35*'E Balans VL '!E23/100/3.6*1000000</f>
        <v>0.45327651115987405</v>
      </c>
      <c r="K13" s="33"/>
      <c r="L13" s="33"/>
      <c r="M13" s="33"/>
      <c r="N13" s="33">
        <f>C35*'E Balans VL '!Y23/100/3.6*1000000</f>
        <v>8519.1564003065541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10018.715231886801</v>
      </c>
      <c r="C15" s="33"/>
      <c r="D15" s="37">
        <f>IF( ISERROR(IND_rest_gas_kWh/1000),0,IND_rest_gas_kWh/1000)*0.902</f>
        <v>37316.396327626091</v>
      </c>
      <c r="E15" s="33">
        <f>C37*'E Balans VL '!I15/100/3.6*1000000</f>
        <v>553.19279178218585</v>
      </c>
      <c r="F15" s="33">
        <f>C37*'E Balans VL '!L15/100/3.6*1000000+C37*'E Balans VL '!N15/100/3.6*1000000</f>
        <v>1984.4076221690307</v>
      </c>
      <c r="G15" s="34"/>
      <c r="H15" s="33"/>
      <c r="I15" s="33"/>
      <c r="J15" s="40">
        <f>C37*'E Balans VL '!D15/100/3.6*1000000+C37*'E Balans VL '!E15/100/3.6*1000000</f>
        <v>35.866810017995213</v>
      </c>
      <c r="K15" s="33"/>
      <c r="L15" s="33"/>
      <c r="M15" s="33"/>
      <c r="N15" s="33">
        <f>C37*'E Balans VL '!Y15/100/3.6*1000000</f>
        <v>2247.3550862057014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50582.97472487246</v>
      </c>
      <c r="C18" s="21">
        <f>C5+C16</f>
        <v>0</v>
      </c>
      <c r="D18" s="21">
        <f>MAX((D5+D16),0)</f>
        <v>43974.242452353152</v>
      </c>
      <c r="E18" s="21">
        <f>MAX((E5+E16),0)</f>
        <v>2211.4823460821472</v>
      </c>
      <c r="F18" s="21">
        <f>MAX((F5+F16),0)</f>
        <v>8851.6162277385065</v>
      </c>
      <c r="G18" s="21"/>
      <c r="H18" s="21"/>
      <c r="I18" s="21"/>
      <c r="J18" s="21">
        <f>MAX((J5+J16),0)</f>
        <v>36.320086529155084</v>
      </c>
      <c r="K18" s="21"/>
      <c r="L18" s="21">
        <f>MAX((L5+L16),0)</f>
        <v>0</v>
      </c>
      <c r="M18" s="21"/>
      <c r="N18" s="21">
        <f>MAX((N5+N16),0)</f>
        <v>12827.820005682745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0.19494324107438238</v>
      </c>
      <c r="C20" s="25">
        <f ca="1">'EF ele_warmte'!B22</f>
        <v>0.213582747184386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9860.8090360502028</v>
      </c>
      <c r="C22" s="23">
        <f ca="1">C18*C20</f>
        <v>0</v>
      </c>
      <c r="D22" s="23">
        <f>D18*D20</f>
        <v>8882.7969753753368</v>
      </c>
      <c r="E22" s="23">
        <f>E18*E20</f>
        <v>502.00649256064742</v>
      </c>
      <c r="F22" s="23">
        <f>F18*F20</f>
        <v>2363.3815328061814</v>
      </c>
      <c r="G22" s="23"/>
      <c r="H22" s="23"/>
      <c r="I22" s="23"/>
      <c r="J22" s="23">
        <f>J18*J20</f>
        <v>12.8573106313209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31970.943562369903</v>
      </c>
      <c r="C30" s="39">
        <f>IF(ISERROR(B30*3.6/1000000/'E Balans VL '!Z18*100),0,B30*3.6/1000000/'E Balans VL '!Z18*100)</f>
        <v>1.8118753505406107</v>
      </c>
      <c r="D30" s="237" t="s">
        <v>754</v>
      </c>
    </row>
    <row r="31" spans="1:18">
      <c r="A31" s="6" t="s">
        <v>33</v>
      </c>
      <c r="B31" s="37">
        <f>IF( ISERROR(IND_ander_ele_kWh/1000),0,IND_ander_ele_kWh/1000)</f>
        <v>4645.7338853310494</v>
      </c>
      <c r="C31" s="39">
        <f>IF(ISERROR(B31*3.6/1000000/'E Balans VL '!Z19*100),0,B31*3.6/1000000/'E Balans VL '!Z19*100)</f>
        <v>0.21071114453940298</v>
      </c>
      <c r="D31" s="237" t="s">
        <v>754</v>
      </c>
    </row>
    <row r="32" spans="1:18">
      <c r="A32" s="171" t="s">
        <v>41</v>
      </c>
      <c r="B32" s="37">
        <f>IF( ISERROR(IND_voed_ele_kWh/1000),0,IND_voed_ele_kWh/1000)</f>
        <v>1016.77703341492</v>
      </c>
      <c r="C32" s="39">
        <f>IF(ISERROR(B32*3.6/1000000/'E Balans VL '!Z20*100),0,B32*3.6/1000000/'E Balans VL '!Z20*100)</f>
        <v>3.1453529421519681E-2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2930.8050118697902</v>
      </c>
      <c r="C35" s="39">
        <f>IF(ISERROR(B35*3.6/1000000/'E Balans VL '!Z22*100),0,B35*3.6/1000000/'E Balans VL '!Z22*100)</f>
        <v>0.52716038157211254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10018.715231886801</v>
      </c>
      <c r="C37" s="39">
        <f>IF(ISERROR(B37*3.6/1000000/'E Balans VL '!Z15*100),0,B37*3.6/1000000/'E Balans VL '!Z15*100)</f>
        <v>7.941062236519178E-2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3005.5203848592732</v>
      </c>
      <c r="C5" s="17">
        <f>'Eigen informatie GS &amp; warmtenet'!B60</f>
        <v>0</v>
      </c>
      <c r="D5" s="30">
        <f>IF(ISERROR(SUM(LB_lb_gas_kWh,LB_rest_gas_kWh)/1000),0,SUM(LB_lb_gas_kWh,LB_rest_gas_kWh)/1000)*0.902</f>
        <v>176628.50857901396</v>
      </c>
      <c r="E5" s="17">
        <f>B17*'E Balans VL '!I25/3.6*1000000/100</f>
        <v>88.341424029829383</v>
      </c>
      <c r="F5" s="17">
        <f>B17*('E Balans VL '!L25/3.6*1000000+'E Balans VL '!N25/3.6*1000000)/100</f>
        <v>12520.835513526647</v>
      </c>
      <c r="G5" s="18"/>
      <c r="H5" s="17"/>
      <c r="I5" s="17"/>
      <c r="J5" s="17">
        <f>('E Balans VL '!D25+'E Balans VL '!E25)/3.6*1000000*landbouw!B17/100</f>
        <v>435.43535947701258</v>
      </c>
      <c r="K5" s="17"/>
      <c r="L5" s="17">
        <f>L6*(-1)</f>
        <v>22477.5</v>
      </c>
      <c r="M5" s="17"/>
      <c r="N5" s="17">
        <f>N6*(-1)</f>
        <v>0</v>
      </c>
      <c r="O5" s="17"/>
      <c r="P5" s="17"/>
      <c r="R5" s="32"/>
    </row>
    <row r="6" spans="1:18">
      <c r="A6" s="16" t="s">
        <v>488</v>
      </c>
      <c r="B6" s="17" t="s">
        <v>211</v>
      </c>
      <c r="C6" s="17">
        <f>'lokale energieproductie'!O92+'lokale energieproductie'!O61</f>
        <v>96685.07142857142</v>
      </c>
      <c r="D6" s="310">
        <f>('lokale energieproductie'!P61+'lokale energieproductie'!P92)*(-1)</f>
        <v>-166397.14285714284</v>
      </c>
      <c r="E6" s="248"/>
      <c r="F6" s="310">
        <f>('lokale energieproductie'!S61+'lokale energieproductie'!S92)*(-1)</f>
        <v>-7492.5</v>
      </c>
      <c r="G6" s="249"/>
      <c r="H6" s="248"/>
      <c r="I6" s="248"/>
      <c r="J6" s="248"/>
      <c r="K6" s="248"/>
      <c r="L6" s="310">
        <f>('lokale energieproductie'!T61+'lokale energieproductie'!U61+'lokale energieproductie'!T92+'lokale energieproductie'!U92)*(-1)</f>
        <v>-22477.5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3005.5203848592732</v>
      </c>
      <c r="C8" s="21">
        <f>C5+C6</f>
        <v>96685.07142857142</v>
      </c>
      <c r="D8" s="21">
        <f>MAX((D5+D6),0)</f>
        <v>10231.365721871116</v>
      </c>
      <c r="E8" s="21">
        <f>MAX((E5+E6),0)</f>
        <v>88.341424029829383</v>
      </c>
      <c r="F8" s="21">
        <f>MAX((F5+F6),0)</f>
        <v>5028.3355135266465</v>
      </c>
      <c r="G8" s="21"/>
      <c r="H8" s="21"/>
      <c r="I8" s="21"/>
      <c r="J8" s="21">
        <f>MAX((J5+J6),0)</f>
        <v>435.43535947701258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0.19494324107438238</v>
      </c>
      <c r="C10" s="31">
        <f ca="1">'EF ele_warmte'!B22</f>
        <v>0.213582747184386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585.90588493959183</v>
      </c>
      <c r="C12" s="23">
        <f ca="1">C8*C10</f>
        <v>20650.263167432873</v>
      </c>
      <c r="D12" s="23">
        <f>D8*D10</f>
        <v>2066.7358758179657</v>
      </c>
      <c r="E12" s="23">
        <f>E8*E10</f>
        <v>20.053503254771272</v>
      </c>
      <c r="F12" s="23">
        <f>F8*F10</f>
        <v>1342.5655821116147</v>
      </c>
      <c r="G12" s="23"/>
      <c r="H12" s="23"/>
      <c r="I12" s="23"/>
      <c r="J12" s="23">
        <f>J8*J10</f>
        <v>154.14411725486244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0.42649277214416692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275.46804769915315</v>
      </c>
      <c r="C26" s="247">
        <f>B26*'GWP N2O_CH4'!B5</f>
        <v>5784.8290016822157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48.248613110777285</v>
      </c>
      <c r="C27" s="247">
        <f>B27*'GWP N2O_CH4'!B5</f>
        <v>1013.220875326323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3.7652521223503501</v>
      </c>
      <c r="C28" s="247">
        <f>B28*'GWP N2O_CH4'!B4</f>
        <v>1167.2281579286084</v>
      </c>
      <c r="D28" s="50"/>
    </row>
    <row r="29" spans="1:4">
      <c r="A29" s="41" t="s">
        <v>277</v>
      </c>
      <c r="B29" s="247">
        <f>B34*'ha_N2O bodem landbouw'!B4</f>
        <v>13.526994259685823</v>
      </c>
      <c r="C29" s="247">
        <f>B29*'GWP N2O_CH4'!B4</f>
        <v>4193.3682205026053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3.0868134739642722E-3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2.5321464226208247E-4</v>
      </c>
      <c r="C5" s="463" t="s">
        <v>211</v>
      </c>
      <c r="D5" s="448">
        <f>SUM(D6:D11)</f>
        <v>8.0900236757404267E-4</v>
      </c>
      <c r="E5" s="448">
        <f>SUM(E6:E11)</f>
        <v>1.0937939030151544E-3</v>
      </c>
      <c r="F5" s="461" t="s">
        <v>211</v>
      </c>
      <c r="G5" s="448">
        <f>SUM(G6:G11)</f>
        <v>0.46621849244216873</v>
      </c>
      <c r="H5" s="448">
        <f>SUM(H6:H11)</f>
        <v>9.1708178365580012E-2</v>
      </c>
      <c r="I5" s="463" t="s">
        <v>211</v>
      </c>
      <c r="J5" s="463" t="s">
        <v>211</v>
      </c>
      <c r="K5" s="463" t="s">
        <v>211</v>
      </c>
      <c r="L5" s="463" t="s">
        <v>211</v>
      </c>
      <c r="M5" s="448">
        <f>SUM(M6:M11)</f>
        <v>2.9944528659350725E-2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2.3200104649576337E-4</v>
      </c>
      <c r="C6" s="449"/>
      <c r="D6" s="892">
        <f>vkm_2011_GW_PW*SUMIFS(TableVerdeelsleutelVkm[CNG],TableVerdeelsleutelVkm[Voertuigtype],"Lichte voertuigen")*SUMIFS(TableECFTransport[EnergieConsumptieFactor (PJ per km)],TableECFTransport[Index],CONCATENATE($A6,"_CNG_CNG"))</f>
        <v>6.9586998299864733E-4</v>
      </c>
      <c r="E6" s="892">
        <f>vkm_2011_GW_PW*SUMIFS(TableVerdeelsleutelVkm[LPG],TableVerdeelsleutelVkm[Voertuigtype],"Lichte voertuigen")*SUMIFS(TableECFTransport[EnergieConsumptieFactor (PJ per km)],TableECFTransport[Index],CONCATENATE($A6,"_LPG_LPG"))</f>
        <v>9.5065835357311355E-4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0.24579667137774691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7.9147203513220396E-2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1.6695377853308054E-2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0.18075404269315085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5.5090159272061993E-5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1.0562656425462546E-2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2.1213595766319126E-5</v>
      </c>
      <c r="C8" s="449"/>
      <c r="D8" s="451">
        <f>vkm_2011_NGW_PW*SUMIFS(TableVerdeelsleutelVkm[CNG],TableVerdeelsleutelVkm[Voertuigtype],"Lichte voertuigen")*SUMIFS(TableECFTransport[EnergieConsumptieFactor (PJ per km)],TableECFTransport[Index],CONCATENATE($A8,"_CNG_CNG"))</f>
        <v>1.1313238457539536E-4</v>
      </c>
      <c r="E8" s="451">
        <f>vkm_2011_NGW_PW*SUMIFS(TableVerdeelsleutelVkm[LPG],TableVerdeelsleutelVkm[Voertuigtype],"Lichte voertuigen")*SUMIFS(TableECFTransport[EnergieConsumptieFactor (PJ per km)],TableECFTransport[Index],CONCATENATE($A8,"_LPG_LPG"))</f>
        <v>1.4313554944204085E-4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3.4487812022185954E-2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1.2504398437847446E-2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2.3837973509890525E-3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5.1799663490850328E-3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1.4862552400968336E-6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3.026970295910754E-4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70.337400628356235</v>
      </c>
      <c r="C14" s="21"/>
      <c r="D14" s="21">
        <f t="shared" ref="D14:M14" si="0">((D5)*10^9/3600)+D12</f>
        <v>224.72287988167852</v>
      </c>
      <c r="E14" s="21">
        <f t="shared" si="0"/>
        <v>303.83163972643177</v>
      </c>
      <c r="F14" s="21"/>
      <c r="G14" s="21">
        <f t="shared" si="0"/>
        <v>129505.13678949131</v>
      </c>
      <c r="H14" s="21">
        <f t="shared" si="0"/>
        <v>25474.493990438892</v>
      </c>
      <c r="I14" s="21"/>
      <c r="J14" s="21"/>
      <c r="K14" s="21"/>
      <c r="L14" s="21"/>
      <c r="M14" s="21">
        <f t="shared" si="0"/>
        <v>8317.9246275974238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0.19494324107438238</v>
      </c>
      <c r="C16" s="56">
        <f ca="1">'EF ele_warmte'!B22</f>
        <v>0.213582747184386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13.711800847239065</v>
      </c>
      <c r="C18" s="23"/>
      <c r="D18" s="23">
        <f t="shared" ref="D18:M18" si="1">D14*D16</f>
        <v>45.394021736099063</v>
      </c>
      <c r="E18" s="23">
        <f t="shared" si="1"/>
        <v>68.969782217900018</v>
      </c>
      <c r="F18" s="23"/>
      <c r="G18" s="23">
        <f t="shared" si="1"/>
        <v>34577.871522794179</v>
      </c>
      <c r="H18" s="23">
        <f t="shared" si="1"/>
        <v>6343.1490036192845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1.5955267714092686E-2</v>
      </c>
      <c r="H50" s="321">
        <f t="shared" si="2"/>
        <v>0</v>
      </c>
      <c r="I50" s="321">
        <f t="shared" si="2"/>
        <v>0</v>
      </c>
      <c r="J50" s="321">
        <f t="shared" si="2"/>
        <v>0</v>
      </c>
      <c r="K50" s="321">
        <f t="shared" si="2"/>
        <v>0</v>
      </c>
      <c r="L50" s="321">
        <f t="shared" si="2"/>
        <v>0</v>
      </c>
      <c r="M50" s="321">
        <f t="shared" si="2"/>
        <v>9.0618877041240449E-4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1.5955267714092686E-2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9.0618877041240449E-4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4432.0188094701907</v>
      </c>
      <c r="H54" s="21">
        <f t="shared" si="3"/>
        <v>0</v>
      </c>
      <c r="I54" s="21">
        <f t="shared" si="3"/>
        <v>0</v>
      </c>
      <c r="J54" s="21">
        <f t="shared" si="3"/>
        <v>0</v>
      </c>
      <c r="K54" s="21">
        <f t="shared" si="3"/>
        <v>0</v>
      </c>
      <c r="L54" s="21">
        <f t="shared" si="3"/>
        <v>0</v>
      </c>
      <c r="M54" s="21">
        <f t="shared" si="3"/>
        <v>251.71910289233458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0.19494324107438238</v>
      </c>
      <c r="C56" s="56">
        <f ca="1">'EF ele_warmte'!B22</f>
        <v>0.213582747184386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1183.349022128541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74795.212261010311</v>
      </c>
      <c r="D10" s="1013">
        <f ca="1">tertiair!C16</f>
        <v>900.00000000000023</v>
      </c>
      <c r="E10" s="1013">
        <f ca="1">tertiair!D16</f>
        <v>68718.806320351781</v>
      </c>
      <c r="F10" s="1013">
        <f>tertiair!E16</f>
        <v>944.31256220071134</v>
      </c>
      <c r="G10" s="1013">
        <f ca="1">tertiair!F16</f>
        <v>10869.216956808294</v>
      </c>
      <c r="H10" s="1013">
        <f>tertiair!G16</f>
        <v>0</v>
      </c>
      <c r="I10" s="1013">
        <f>tertiair!H16</f>
        <v>0</v>
      </c>
      <c r="J10" s="1013">
        <f>tertiair!I16</f>
        <v>0</v>
      </c>
      <c r="K10" s="1013">
        <f>tertiair!J16</f>
        <v>0.1444967222597891</v>
      </c>
      <c r="L10" s="1013">
        <f>tertiair!K16</f>
        <v>0</v>
      </c>
      <c r="M10" s="1013">
        <f ca="1">tertiair!L16</f>
        <v>0</v>
      </c>
      <c r="N10" s="1013">
        <f>tertiair!M16</f>
        <v>0</v>
      </c>
      <c r="O10" s="1013">
        <f ca="1">tertiair!N16</f>
        <v>0</v>
      </c>
      <c r="P10" s="1013">
        <f>tertiair!O16</f>
        <v>6.2533333333333339</v>
      </c>
      <c r="Q10" s="1014">
        <f>tertiair!P16</f>
        <v>152.53333333333333</v>
      </c>
      <c r="R10" s="700">
        <f ca="1">SUM(C10:Q10)</f>
        <v>156386.47926376</v>
      </c>
      <c r="S10" s="67"/>
    </row>
    <row r="11" spans="1:19" s="473" customFormat="1">
      <c r="A11" s="809" t="s">
        <v>225</v>
      </c>
      <c r="B11" s="814"/>
      <c r="C11" s="1013">
        <f>huishoudens!B8</f>
        <v>57649.156319758185</v>
      </c>
      <c r="D11" s="1013">
        <f>huishoudens!C8</f>
        <v>0</v>
      </c>
      <c r="E11" s="1013">
        <f>huishoudens!D8</f>
        <v>172061.84715024999</v>
      </c>
      <c r="F11" s="1013">
        <f>huishoudens!E8</f>
        <v>3782.10471798048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9840.1477080157092</v>
      </c>
      <c r="P11" s="1013">
        <f>huishoudens!O8</f>
        <v>314.23</v>
      </c>
      <c r="Q11" s="1014">
        <f>huishoudens!P8</f>
        <v>1353.7333333333333</v>
      </c>
      <c r="R11" s="700">
        <f>SUM(C11:Q11)</f>
        <v>245001.21922933773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50582.97472487246</v>
      </c>
      <c r="D13" s="1013">
        <f>industrie!C18</f>
        <v>0</v>
      </c>
      <c r="E13" s="1013">
        <f>industrie!D18</f>
        <v>43974.242452353152</v>
      </c>
      <c r="F13" s="1013">
        <f>industrie!E18</f>
        <v>2211.4823460821472</v>
      </c>
      <c r="G13" s="1013">
        <f>industrie!F18</f>
        <v>8851.6162277385065</v>
      </c>
      <c r="H13" s="1013">
        <f>industrie!G18</f>
        <v>0</v>
      </c>
      <c r="I13" s="1013">
        <f>industrie!H18</f>
        <v>0</v>
      </c>
      <c r="J13" s="1013">
        <f>industrie!I18</f>
        <v>0</v>
      </c>
      <c r="K13" s="1013">
        <f>industrie!J18</f>
        <v>36.320086529155084</v>
      </c>
      <c r="L13" s="1013">
        <f>industrie!K18</f>
        <v>0</v>
      </c>
      <c r="M13" s="1013">
        <f>industrie!L18</f>
        <v>0</v>
      </c>
      <c r="N13" s="1013">
        <f>industrie!M18</f>
        <v>0</v>
      </c>
      <c r="O13" s="1013">
        <f>industrie!N18</f>
        <v>12827.820005682745</v>
      </c>
      <c r="P13" s="1013">
        <f>industrie!O18</f>
        <v>0</v>
      </c>
      <c r="Q13" s="1014">
        <f>industrie!P18</f>
        <v>0</v>
      </c>
      <c r="R13" s="700">
        <f>SUM(C13:Q13)</f>
        <v>118484.45584325817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183027.34330564097</v>
      </c>
      <c r="D16" s="732">
        <f t="shared" ref="D16:R16" ca="1" si="0">SUM(D9:D15)</f>
        <v>900.00000000000023</v>
      </c>
      <c r="E16" s="732">
        <f t="shared" ca="1" si="0"/>
        <v>284754.89592295489</v>
      </c>
      <c r="F16" s="732">
        <f t="shared" si="0"/>
        <v>6937.8996262633382</v>
      </c>
      <c r="G16" s="732">
        <f t="shared" ca="1" si="0"/>
        <v>19720.833184546798</v>
      </c>
      <c r="H16" s="732">
        <f t="shared" si="0"/>
        <v>0</v>
      </c>
      <c r="I16" s="732">
        <f t="shared" si="0"/>
        <v>0</v>
      </c>
      <c r="J16" s="732">
        <f t="shared" si="0"/>
        <v>0</v>
      </c>
      <c r="K16" s="732">
        <f t="shared" si="0"/>
        <v>36.464583251414872</v>
      </c>
      <c r="L16" s="732">
        <f t="shared" si="0"/>
        <v>0</v>
      </c>
      <c r="M16" s="732">
        <f t="shared" ca="1" si="0"/>
        <v>0</v>
      </c>
      <c r="N16" s="732">
        <f t="shared" si="0"/>
        <v>0</v>
      </c>
      <c r="O16" s="732">
        <f t="shared" ca="1" si="0"/>
        <v>22667.967713698454</v>
      </c>
      <c r="P16" s="732">
        <f t="shared" si="0"/>
        <v>320.48333333333335</v>
      </c>
      <c r="Q16" s="732">
        <f t="shared" si="0"/>
        <v>1506.2666666666667</v>
      </c>
      <c r="R16" s="732">
        <f t="shared" ca="1" si="0"/>
        <v>519872.15433635592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4432.0188094701907</v>
      </c>
      <c r="I19" s="1013">
        <f>transport!H54</f>
        <v>0</v>
      </c>
      <c r="J19" s="1013">
        <f>transport!I54</f>
        <v>0</v>
      </c>
      <c r="K19" s="1013">
        <f>transport!J54</f>
        <v>0</v>
      </c>
      <c r="L19" s="1013">
        <f>transport!K54</f>
        <v>0</v>
      </c>
      <c r="M19" s="1013">
        <f>transport!L54</f>
        <v>0</v>
      </c>
      <c r="N19" s="1013">
        <f>transport!M54</f>
        <v>251.71910289233458</v>
      </c>
      <c r="O19" s="1013">
        <f>transport!N54</f>
        <v>0</v>
      </c>
      <c r="P19" s="1013">
        <f>transport!O54</f>
        <v>0</v>
      </c>
      <c r="Q19" s="1014">
        <f>transport!P54</f>
        <v>0</v>
      </c>
      <c r="R19" s="700">
        <f>SUM(C19:Q19)</f>
        <v>4683.7379123625251</v>
      </c>
      <c r="S19" s="67"/>
    </row>
    <row r="20" spans="1:19" s="473" customFormat="1">
      <c r="A20" s="809" t="s">
        <v>307</v>
      </c>
      <c r="B20" s="814"/>
      <c r="C20" s="1013">
        <f>transport!B14</f>
        <v>70.337400628356235</v>
      </c>
      <c r="D20" s="1013">
        <f>transport!C14</f>
        <v>0</v>
      </c>
      <c r="E20" s="1013">
        <f>transport!D14</f>
        <v>224.72287988167852</v>
      </c>
      <c r="F20" s="1013">
        <f>transport!E14</f>
        <v>303.83163972643177</v>
      </c>
      <c r="G20" s="1013">
        <f>transport!F14</f>
        <v>0</v>
      </c>
      <c r="H20" s="1013">
        <f>transport!G14</f>
        <v>129505.13678949131</v>
      </c>
      <c r="I20" s="1013">
        <f>transport!H14</f>
        <v>25474.493990438892</v>
      </c>
      <c r="J20" s="1013">
        <f>transport!I14</f>
        <v>0</v>
      </c>
      <c r="K20" s="1013">
        <f>transport!J14</f>
        <v>0</v>
      </c>
      <c r="L20" s="1013">
        <f>transport!K14</f>
        <v>0</v>
      </c>
      <c r="M20" s="1013">
        <f>transport!L14</f>
        <v>0</v>
      </c>
      <c r="N20" s="1013">
        <f>transport!M14</f>
        <v>8317.9246275974238</v>
      </c>
      <c r="O20" s="1013">
        <f>transport!N14</f>
        <v>0</v>
      </c>
      <c r="P20" s="1013">
        <f>transport!O14</f>
        <v>0</v>
      </c>
      <c r="Q20" s="1014">
        <f>transport!P14</f>
        <v>0</v>
      </c>
      <c r="R20" s="700">
        <f>SUM(C20:Q20)</f>
        <v>163896.44732776409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70.337400628356235</v>
      </c>
      <c r="D22" s="812">
        <f t="shared" ref="D22:R22" si="1">SUM(D18:D21)</f>
        <v>0</v>
      </c>
      <c r="E22" s="812">
        <f t="shared" si="1"/>
        <v>224.72287988167852</v>
      </c>
      <c r="F22" s="812">
        <f t="shared" si="1"/>
        <v>303.83163972643177</v>
      </c>
      <c r="G22" s="812">
        <f t="shared" si="1"/>
        <v>0</v>
      </c>
      <c r="H22" s="812">
        <f t="shared" si="1"/>
        <v>133937.15559896152</v>
      </c>
      <c r="I22" s="812">
        <f t="shared" si="1"/>
        <v>25474.493990438892</v>
      </c>
      <c r="J22" s="812">
        <f t="shared" si="1"/>
        <v>0</v>
      </c>
      <c r="K22" s="812">
        <f t="shared" si="1"/>
        <v>0</v>
      </c>
      <c r="L22" s="812">
        <f t="shared" si="1"/>
        <v>0</v>
      </c>
      <c r="M22" s="812">
        <f t="shared" si="1"/>
        <v>0</v>
      </c>
      <c r="N22" s="812">
        <f t="shared" si="1"/>
        <v>8569.643730489759</v>
      </c>
      <c r="O22" s="812">
        <f t="shared" si="1"/>
        <v>0</v>
      </c>
      <c r="P22" s="812">
        <f t="shared" si="1"/>
        <v>0</v>
      </c>
      <c r="Q22" s="812">
        <f t="shared" si="1"/>
        <v>0</v>
      </c>
      <c r="R22" s="812">
        <f t="shared" si="1"/>
        <v>168580.18524012662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3005.5203848592732</v>
      </c>
      <c r="D24" s="1013">
        <f>+landbouw!C8</f>
        <v>96685.07142857142</v>
      </c>
      <c r="E24" s="1013">
        <f>+landbouw!D8</f>
        <v>10231.365721871116</v>
      </c>
      <c r="F24" s="1013">
        <f>+landbouw!E8</f>
        <v>88.341424029829383</v>
      </c>
      <c r="G24" s="1013">
        <f>+landbouw!F8</f>
        <v>5028.3355135266465</v>
      </c>
      <c r="H24" s="1013">
        <f>+landbouw!G8</f>
        <v>0</v>
      </c>
      <c r="I24" s="1013">
        <f>+landbouw!H8</f>
        <v>0</v>
      </c>
      <c r="J24" s="1013">
        <f>+landbouw!I8</f>
        <v>0</v>
      </c>
      <c r="K24" s="1013">
        <f>+landbouw!J8</f>
        <v>435.43535947701258</v>
      </c>
      <c r="L24" s="1013">
        <f>+landbouw!K8</f>
        <v>0</v>
      </c>
      <c r="M24" s="1013">
        <f>+landbouw!L8</f>
        <v>0</v>
      </c>
      <c r="N24" s="1013">
        <f>+landbouw!M8</f>
        <v>0</v>
      </c>
      <c r="O24" s="1013">
        <f>+landbouw!N8</f>
        <v>0</v>
      </c>
      <c r="P24" s="1013">
        <f>+landbouw!O8</f>
        <v>0</v>
      </c>
      <c r="Q24" s="1014">
        <f>+landbouw!P8</f>
        <v>0</v>
      </c>
      <c r="R24" s="700">
        <f>SUM(C24:Q24)</f>
        <v>115474.0698323353</v>
      </c>
      <c r="S24" s="67"/>
    </row>
    <row r="25" spans="1:19" s="473" customFormat="1" ht="15" thickBot="1">
      <c r="A25" s="831" t="s">
        <v>836</v>
      </c>
      <c r="B25" s="1016"/>
      <c r="C25" s="1017">
        <f>IF(Onbekend_ele_kWh="---",0,Onbekend_ele_kWh)/1000+IF(REST_rest_ele_kWh="---",0,REST_rest_ele_kWh)/1000</f>
        <v>3052.5373984140801</v>
      </c>
      <c r="D25" s="1017"/>
      <c r="E25" s="1017">
        <f>IF(onbekend_gas_kWh="---",0,onbekend_gas_kWh)/1000+IF(REST_rest_gas_kWh="---",0,REST_rest_gas_kWh)/1000</f>
        <v>10039.4330258592</v>
      </c>
      <c r="F25" s="1017"/>
      <c r="G25" s="1017"/>
      <c r="H25" s="1017"/>
      <c r="I25" s="1017"/>
      <c r="J25" s="1017"/>
      <c r="K25" s="1017"/>
      <c r="L25" s="1017"/>
      <c r="M25" s="1017"/>
      <c r="N25" s="1017"/>
      <c r="O25" s="1017"/>
      <c r="P25" s="1017"/>
      <c r="Q25" s="1018"/>
      <c r="R25" s="700">
        <f>SUM(C25:Q25)</f>
        <v>13091.970424273281</v>
      </c>
      <c r="S25" s="67"/>
    </row>
    <row r="26" spans="1:19" s="473" customFormat="1" ht="15.75" thickBot="1">
      <c r="A26" s="705" t="s">
        <v>837</v>
      </c>
      <c r="B26" s="817"/>
      <c r="C26" s="812">
        <f>SUM(C24:C25)</f>
        <v>6058.0577832733534</v>
      </c>
      <c r="D26" s="812">
        <f t="shared" ref="D26:R26" si="2">SUM(D24:D25)</f>
        <v>96685.07142857142</v>
      </c>
      <c r="E26" s="812">
        <f t="shared" si="2"/>
        <v>20270.798747730318</v>
      </c>
      <c r="F26" s="812">
        <f t="shared" si="2"/>
        <v>88.341424029829383</v>
      </c>
      <c r="G26" s="812">
        <f t="shared" si="2"/>
        <v>5028.3355135266465</v>
      </c>
      <c r="H26" s="812">
        <f t="shared" si="2"/>
        <v>0</v>
      </c>
      <c r="I26" s="812">
        <f t="shared" si="2"/>
        <v>0</v>
      </c>
      <c r="J26" s="812">
        <f t="shared" si="2"/>
        <v>0</v>
      </c>
      <c r="K26" s="812">
        <f t="shared" si="2"/>
        <v>435.43535947701258</v>
      </c>
      <c r="L26" s="812">
        <f t="shared" si="2"/>
        <v>0</v>
      </c>
      <c r="M26" s="812">
        <f t="shared" si="2"/>
        <v>0</v>
      </c>
      <c r="N26" s="812">
        <f t="shared" si="2"/>
        <v>0</v>
      </c>
      <c r="O26" s="812">
        <f t="shared" si="2"/>
        <v>0</v>
      </c>
      <c r="P26" s="812">
        <f t="shared" si="2"/>
        <v>0</v>
      </c>
      <c r="Q26" s="812">
        <f t="shared" si="2"/>
        <v>0</v>
      </c>
      <c r="R26" s="812">
        <f t="shared" si="2"/>
        <v>128566.04025660858</v>
      </c>
      <c r="S26" s="67"/>
    </row>
    <row r="27" spans="1:19" s="473" customFormat="1" ht="17.25" thickTop="1" thickBot="1">
      <c r="A27" s="706" t="s">
        <v>116</v>
      </c>
      <c r="B27" s="805"/>
      <c r="C27" s="707">
        <f ca="1">C22+C16+C26</f>
        <v>189155.73848954268</v>
      </c>
      <c r="D27" s="707">
        <f t="shared" ref="D27:R27" ca="1" si="3">D22+D16+D26</f>
        <v>97585.07142857142</v>
      </c>
      <c r="E27" s="707">
        <f t="shared" ca="1" si="3"/>
        <v>305250.4175505669</v>
      </c>
      <c r="F27" s="707">
        <f t="shared" si="3"/>
        <v>7330.0726900195996</v>
      </c>
      <c r="G27" s="707">
        <f t="shared" ca="1" si="3"/>
        <v>24749.168698073445</v>
      </c>
      <c r="H27" s="707">
        <f t="shared" si="3"/>
        <v>133937.15559896152</v>
      </c>
      <c r="I27" s="707">
        <f t="shared" si="3"/>
        <v>25474.493990438892</v>
      </c>
      <c r="J27" s="707">
        <f t="shared" si="3"/>
        <v>0</v>
      </c>
      <c r="K27" s="707">
        <f t="shared" si="3"/>
        <v>471.89994272842745</v>
      </c>
      <c r="L27" s="707">
        <f t="shared" si="3"/>
        <v>0</v>
      </c>
      <c r="M27" s="707">
        <f t="shared" ca="1" si="3"/>
        <v>0</v>
      </c>
      <c r="N27" s="707">
        <f t="shared" si="3"/>
        <v>8569.643730489759</v>
      </c>
      <c r="O27" s="707">
        <f t="shared" ca="1" si="3"/>
        <v>22667.967713698454</v>
      </c>
      <c r="P27" s="707">
        <f t="shared" si="3"/>
        <v>320.48333333333335</v>
      </c>
      <c r="Q27" s="707">
        <f t="shared" si="3"/>
        <v>1506.2666666666667</v>
      </c>
      <c r="R27" s="707">
        <f t="shared" ca="1" si="3"/>
        <v>817018.37983309117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14580.821095007734</v>
      </c>
      <c r="D40" s="1013">
        <f ca="1">tertiair!C20</f>
        <v>192.22447246594746</v>
      </c>
      <c r="E40" s="1013">
        <f ca="1">tertiair!D20</f>
        <v>13881.198876711062</v>
      </c>
      <c r="F40" s="1013">
        <f>tertiair!E20</f>
        <v>214.35895161956148</v>
      </c>
      <c r="G40" s="1013">
        <f ca="1">tertiair!F20</f>
        <v>2902.0809274678145</v>
      </c>
      <c r="H40" s="1013">
        <f>tertiair!G20</f>
        <v>0</v>
      </c>
      <c r="I40" s="1013">
        <f>tertiair!H20</f>
        <v>0</v>
      </c>
      <c r="J40" s="1013">
        <f>tertiair!I20</f>
        <v>0</v>
      </c>
      <c r="K40" s="1013">
        <f>tertiair!J20</f>
        <v>5.1151839679965339E-2</v>
      </c>
      <c r="L40" s="1013">
        <f>tertiair!K20</f>
        <v>0</v>
      </c>
      <c r="M40" s="1013">
        <f ca="1">tertiair!L20</f>
        <v>0</v>
      </c>
      <c r="N40" s="1013">
        <f>tertiair!M20</f>
        <v>0</v>
      </c>
      <c r="O40" s="1013">
        <f ca="1">tertiair!N20</f>
        <v>0</v>
      </c>
      <c r="P40" s="1013">
        <f>tertiair!O20</f>
        <v>0</v>
      </c>
      <c r="Q40" s="774">
        <f>tertiair!P20</f>
        <v>0</v>
      </c>
      <c r="R40" s="850">
        <f t="shared" ca="1" si="4"/>
        <v>31770.735475111796</v>
      </c>
    </row>
    <row r="41" spans="1:18">
      <c r="A41" s="822" t="s">
        <v>225</v>
      </c>
      <c r="B41" s="829"/>
      <c r="C41" s="1013">
        <f ca="1">huishoudens!B12</f>
        <v>11238.313378177374</v>
      </c>
      <c r="D41" s="1013">
        <f ca="1">huishoudens!C12</f>
        <v>0</v>
      </c>
      <c r="E41" s="1013">
        <f>huishoudens!D12</f>
        <v>34756.493124350498</v>
      </c>
      <c r="F41" s="1013">
        <f>huishoudens!E12</f>
        <v>858.537770981569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46853.344273509436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9860.8090360502028</v>
      </c>
      <c r="D43" s="1013">
        <f ca="1">industrie!C22</f>
        <v>0</v>
      </c>
      <c r="E43" s="1013">
        <f>industrie!D22</f>
        <v>8882.7969753753368</v>
      </c>
      <c r="F43" s="1013">
        <f>industrie!E22</f>
        <v>502.00649256064742</v>
      </c>
      <c r="G43" s="1013">
        <f>industrie!F22</f>
        <v>2363.3815328061814</v>
      </c>
      <c r="H43" s="1013">
        <f>industrie!G22</f>
        <v>0</v>
      </c>
      <c r="I43" s="1013">
        <f>industrie!H22</f>
        <v>0</v>
      </c>
      <c r="J43" s="1013">
        <f>industrie!I22</f>
        <v>0</v>
      </c>
      <c r="K43" s="1013">
        <f>industrie!J22</f>
        <v>12.8573106313209</v>
      </c>
      <c r="L43" s="1013">
        <f>industrie!K22</f>
        <v>0</v>
      </c>
      <c r="M43" s="1013">
        <f>industrie!L22</f>
        <v>0</v>
      </c>
      <c r="N43" s="1013">
        <f>industrie!M22</f>
        <v>0</v>
      </c>
      <c r="O43" s="1013">
        <f>industrie!N22</f>
        <v>0</v>
      </c>
      <c r="P43" s="1013">
        <f>industrie!O22</f>
        <v>0</v>
      </c>
      <c r="Q43" s="774">
        <f>industrie!P22</f>
        <v>0</v>
      </c>
      <c r="R43" s="849">
        <f t="shared" ca="1" si="4"/>
        <v>21621.851347423686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35679.943509235309</v>
      </c>
      <c r="D46" s="732">
        <f t="shared" ref="D46:Q46" ca="1" si="5">SUM(D39:D45)</f>
        <v>192.22447246594746</v>
      </c>
      <c r="E46" s="732">
        <f t="shared" ca="1" si="5"/>
        <v>57520.488976436893</v>
      </c>
      <c r="F46" s="732">
        <f t="shared" si="5"/>
        <v>1574.903215161778</v>
      </c>
      <c r="G46" s="732">
        <f t="shared" ca="1" si="5"/>
        <v>5265.4624602739959</v>
      </c>
      <c r="H46" s="732">
        <f t="shared" si="5"/>
        <v>0</v>
      </c>
      <c r="I46" s="732">
        <f t="shared" si="5"/>
        <v>0</v>
      </c>
      <c r="J46" s="732">
        <f t="shared" si="5"/>
        <v>0</v>
      </c>
      <c r="K46" s="732">
        <f t="shared" si="5"/>
        <v>12.908462471000865</v>
      </c>
      <c r="L46" s="732">
        <f t="shared" si="5"/>
        <v>0</v>
      </c>
      <c r="M46" s="732">
        <f t="shared" ca="1" si="5"/>
        <v>0</v>
      </c>
      <c r="N46" s="732">
        <f t="shared" si="5"/>
        <v>0</v>
      </c>
      <c r="O46" s="732">
        <f t="shared" ca="1" si="5"/>
        <v>0</v>
      </c>
      <c r="P46" s="732">
        <f t="shared" si="5"/>
        <v>0</v>
      </c>
      <c r="Q46" s="732">
        <f t="shared" si="5"/>
        <v>0</v>
      </c>
      <c r="R46" s="732">
        <f ca="1">SUM(R39:R45)</f>
        <v>100245.93109604492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1183.349022128541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1183.349022128541</v>
      </c>
    </row>
    <row r="50" spans="1:18">
      <c r="A50" s="825" t="s">
        <v>307</v>
      </c>
      <c r="B50" s="835"/>
      <c r="C50" s="703">
        <f ca="1">transport!B18</f>
        <v>13.711800847239065</v>
      </c>
      <c r="D50" s="703">
        <f>transport!C18</f>
        <v>0</v>
      </c>
      <c r="E50" s="703">
        <f>transport!D18</f>
        <v>45.394021736099063</v>
      </c>
      <c r="F50" s="703">
        <f>transport!E18</f>
        <v>68.969782217900018</v>
      </c>
      <c r="G50" s="703">
        <f>transport!F18</f>
        <v>0</v>
      </c>
      <c r="H50" s="703">
        <f>transport!G18</f>
        <v>34577.871522794179</v>
      </c>
      <c r="I50" s="703">
        <f>transport!H18</f>
        <v>6343.1490036192845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41049.096131214705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13.711800847239065</v>
      </c>
      <c r="D52" s="732">
        <f t="shared" ref="D52:Q52" ca="1" si="6">SUM(D48:D51)</f>
        <v>0</v>
      </c>
      <c r="E52" s="732">
        <f t="shared" si="6"/>
        <v>45.394021736099063</v>
      </c>
      <c r="F52" s="732">
        <f t="shared" si="6"/>
        <v>68.969782217900018</v>
      </c>
      <c r="G52" s="732">
        <f t="shared" si="6"/>
        <v>0</v>
      </c>
      <c r="H52" s="732">
        <f t="shared" si="6"/>
        <v>35761.220544922719</v>
      </c>
      <c r="I52" s="732">
        <f t="shared" si="6"/>
        <v>6343.1490036192845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42232.445153343244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585.90588493959183</v>
      </c>
      <c r="D54" s="703">
        <f ca="1">+landbouw!C12</f>
        <v>20650.263167432873</v>
      </c>
      <c r="E54" s="703">
        <f>+landbouw!D12</f>
        <v>2066.7358758179657</v>
      </c>
      <c r="F54" s="703">
        <f>+landbouw!E12</f>
        <v>20.053503254771272</v>
      </c>
      <c r="G54" s="703">
        <f>+landbouw!F12</f>
        <v>1342.5655821116147</v>
      </c>
      <c r="H54" s="703">
        <f>+landbouw!G12</f>
        <v>0</v>
      </c>
      <c r="I54" s="703">
        <f>+landbouw!H12</f>
        <v>0</v>
      </c>
      <c r="J54" s="703">
        <f>+landbouw!I12</f>
        <v>0</v>
      </c>
      <c r="K54" s="703">
        <f>+landbouw!J12</f>
        <v>154.14411725486244</v>
      </c>
      <c r="L54" s="703">
        <f>+landbouw!K12</f>
        <v>0</v>
      </c>
      <c r="M54" s="703">
        <f>+landbouw!L12</f>
        <v>0</v>
      </c>
      <c r="N54" s="703">
        <f>+landbouw!M12</f>
        <v>0</v>
      </c>
      <c r="O54" s="703">
        <f>+landbouw!N12</f>
        <v>0</v>
      </c>
      <c r="P54" s="703">
        <f>+landbouw!O12</f>
        <v>0</v>
      </c>
      <c r="Q54" s="704">
        <f>+landbouw!P12</f>
        <v>0</v>
      </c>
      <c r="R54" s="731">
        <f ca="1">SUM(C54:Q54)</f>
        <v>24819.668130811679</v>
      </c>
    </row>
    <row r="55" spans="1:18" ht="15" thickBot="1">
      <c r="A55" s="825" t="s">
        <v>836</v>
      </c>
      <c r="B55" s="835"/>
      <c r="C55" s="703">
        <f ca="1">C25*'EF ele_warmte'!B12</f>
        <v>595.07153394760405</v>
      </c>
      <c r="D55" s="703"/>
      <c r="E55" s="703">
        <f>E25*EF_CO2_aardgas</f>
        <v>2027.9654712235586</v>
      </c>
      <c r="F55" s="703"/>
      <c r="G55" s="703"/>
      <c r="H55" s="703"/>
      <c r="I55" s="703"/>
      <c r="J55" s="703"/>
      <c r="K55" s="703"/>
      <c r="L55" s="703"/>
      <c r="M55" s="703"/>
      <c r="N55" s="703"/>
      <c r="O55" s="703"/>
      <c r="P55" s="703"/>
      <c r="Q55" s="704"/>
      <c r="R55" s="731">
        <f ca="1">SUM(C55:Q55)</f>
        <v>2623.0370051711625</v>
      </c>
    </row>
    <row r="56" spans="1:18" ht="15.75" thickBot="1">
      <c r="A56" s="823" t="s">
        <v>837</v>
      </c>
      <c r="B56" s="836"/>
      <c r="C56" s="732">
        <f ca="1">SUM(C54:C55)</f>
        <v>1180.9774188871959</v>
      </c>
      <c r="D56" s="732">
        <f t="shared" ref="D56:Q56" ca="1" si="7">SUM(D54:D55)</f>
        <v>20650.263167432873</v>
      </c>
      <c r="E56" s="732">
        <f t="shared" si="7"/>
        <v>4094.7013470415241</v>
      </c>
      <c r="F56" s="732">
        <f t="shared" si="7"/>
        <v>20.053503254771272</v>
      </c>
      <c r="G56" s="732">
        <f t="shared" si="7"/>
        <v>1342.5655821116147</v>
      </c>
      <c r="H56" s="732">
        <f t="shared" si="7"/>
        <v>0</v>
      </c>
      <c r="I56" s="732">
        <f t="shared" si="7"/>
        <v>0</v>
      </c>
      <c r="J56" s="732">
        <f t="shared" si="7"/>
        <v>0</v>
      </c>
      <c r="K56" s="732">
        <f t="shared" si="7"/>
        <v>154.14411725486244</v>
      </c>
      <c r="L56" s="732">
        <f t="shared" si="7"/>
        <v>0</v>
      </c>
      <c r="M56" s="732">
        <f t="shared" si="7"/>
        <v>0</v>
      </c>
      <c r="N56" s="732">
        <f t="shared" si="7"/>
        <v>0</v>
      </c>
      <c r="O56" s="732">
        <f t="shared" si="7"/>
        <v>0</v>
      </c>
      <c r="P56" s="732">
        <f t="shared" si="7"/>
        <v>0</v>
      </c>
      <c r="Q56" s="733">
        <f t="shared" si="7"/>
        <v>0</v>
      </c>
      <c r="R56" s="734">
        <f ca="1">SUM(R54:R55)</f>
        <v>27442.70513598284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36874.632728969744</v>
      </c>
      <c r="D61" s="740">
        <f t="shared" ref="D61:Q61" ca="1" si="8">D46+D52+D56</f>
        <v>20842.48763989882</v>
      </c>
      <c r="E61" s="740">
        <f t="shared" ca="1" si="8"/>
        <v>61660.58434521452</v>
      </c>
      <c r="F61" s="740">
        <f t="shared" si="8"/>
        <v>1663.9265006344494</v>
      </c>
      <c r="G61" s="740">
        <f t="shared" ca="1" si="8"/>
        <v>6608.0280423856111</v>
      </c>
      <c r="H61" s="740">
        <f t="shared" si="8"/>
        <v>35761.220544922719</v>
      </c>
      <c r="I61" s="740">
        <f t="shared" si="8"/>
        <v>6343.1490036192845</v>
      </c>
      <c r="J61" s="740">
        <f t="shared" si="8"/>
        <v>0</v>
      </c>
      <c r="K61" s="740">
        <f t="shared" si="8"/>
        <v>167.0525797258633</v>
      </c>
      <c r="L61" s="740">
        <f t="shared" si="8"/>
        <v>0</v>
      </c>
      <c r="M61" s="740">
        <f t="shared" ca="1" si="8"/>
        <v>0</v>
      </c>
      <c r="N61" s="740">
        <f t="shared" si="8"/>
        <v>0</v>
      </c>
      <c r="O61" s="740">
        <f t="shared" ca="1" si="8"/>
        <v>0</v>
      </c>
      <c r="P61" s="740">
        <f t="shared" si="8"/>
        <v>0</v>
      </c>
      <c r="Q61" s="740">
        <f t="shared" si="8"/>
        <v>0</v>
      </c>
      <c r="R61" s="740">
        <f ca="1">R46+R52+R56</f>
        <v>169921.08138537098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0.19494324107438235</v>
      </c>
      <c r="D63" s="781">
        <f t="shared" ca="1" si="9"/>
        <v>0.213582747184386</v>
      </c>
      <c r="E63" s="1024">
        <f t="shared" ca="1" si="9"/>
        <v>0.20200000000000001</v>
      </c>
      <c r="F63" s="781">
        <f t="shared" si="9"/>
        <v>0.22700000000000004</v>
      </c>
      <c r="G63" s="781">
        <f t="shared" ca="1" si="9"/>
        <v>0.26700000000000007</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9979.0778030009787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8037.0953253746848</v>
      </c>
      <c r="C76" s="750">
        <f>'lokale energieproductie'!B8*IFERROR(SUM(D76:H76)/SUM(D76:O76),0)</f>
        <v>62819.904674625323</v>
      </c>
      <c r="D76" s="1034">
        <f>'lokale energieproductie'!C8</f>
        <v>70753.96811705931</v>
      </c>
      <c r="E76" s="1035">
        <f>'lokale energieproductie'!D8</f>
        <v>0</v>
      </c>
      <c r="F76" s="1035">
        <f>'lokale energieproductie'!E8</f>
        <v>3151.8020883822287</v>
      </c>
      <c r="G76" s="1035">
        <f>'lokale energieproductie'!F8</f>
        <v>0</v>
      </c>
      <c r="H76" s="1035">
        <f>'lokale energieproductie'!G8</f>
        <v>0</v>
      </c>
      <c r="I76" s="1035">
        <f>'lokale energieproductie'!I8</f>
        <v>9455.4062651466866</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15133.832717244037</v>
      </c>
      <c r="R76" s="852">
        <v>0</v>
      </c>
    </row>
    <row r="77" spans="1:18" ht="30.75" thickBot="1">
      <c r="A77" s="753" t="s">
        <v>353</v>
      </c>
      <c r="B77" s="750">
        <f>'lokale energieproductie'!B9*IFERROR(SUM(I77:O77)/SUM(D77:O77),0)</f>
        <v>9945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28414.285714285717</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27961.173128375664</v>
      </c>
      <c r="C78" s="755">
        <f>SUM(C72:C77)</f>
        <v>62819.904674625323</v>
      </c>
      <c r="D78" s="756">
        <f t="shared" ref="D78:H78" si="10">SUM(D76:D77)</f>
        <v>70753.96811705931</v>
      </c>
      <c r="E78" s="756">
        <f t="shared" si="10"/>
        <v>0</v>
      </c>
      <c r="F78" s="756">
        <f t="shared" si="10"/>
        <v>3151.8020883822287</v>
      </c>
      <c r="G78" s="756">
        <f t="shared" si="10"/>
        <v>0</v>
      </c>
      <c r="H78" s="756">
        <f t="shared" si="10"/>
        <v>0</v>
      </c>
      <c r="I78" s="756">
        <f>SUM(I76:I77)</f>
        <v>9455.4062651466866</v>
      </c>
      <c r="J78" s="756">
        <f>SUM(J76:J77)</f>
        <v>28414.285714285717</v>
      </c>
      <c r="K78" s="756">
        <f t="shared" ref="K78:L78" si="11">SUM(K76:K77)</f>
        <v>0</v>
      </c>
      <c r="L78" s="756">
        <f t="shared" si="11"/>
        <v>0</v>
      </c>
      <c r="M78" s="756">
        <f>SUM(M76:M77)</f>
        <v>0</v>
      </c>
      <c r="N78" s="756">
        <f>SUM(N76:N77)</f>
        <v>0</v>
      </c>
      <c r="O78" s="860">
        <f>SUM(O76:O77)</f>
        <v>0</v>
      </c>
      <c r="P78" s="757">
        <v>0</v>
      </c>
      <c r="Q78" s="757">
        <f>SUM(Q76:Q77)</f>
        <v>15133.832717244037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11068.779674625317</v>
      </c>
      <c r="C87" s="766">
        <f>'lokale energieproductie'!B17*IFERROR(SUM(D87:H87)/SUM(D87:O87),0)</f>
        <v>86516.291753946105</v>
      </c>
      <c r="D87" s="777">
        <f>'lokale energieproductie'!C17</f>
        <v>97443.17474008353</v>
      </c>
      <c r="E87" s="777">
        <f>'lokale energieproductie'!D17</f>
        <v>0</v>
      </c>
      <c r="F87" s="777">
        <f>'lokale energieproductie'!E17</f>
        <v>4340.6979116177708</v>
      </c>
      <c r="G87" s="777">
        <f>'lokale energieproductie'!F17</f>
        <v>0</v>
      </c>
      <c r="H87" s="777">
        <f>'lokale energieproductie'!G17</f>
        <v>0</v>
      </c>
      <c r="I87" s="777">
        <f>'lokale energieproductie'!I17</f>
        <v>13022.093734853313</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20842.48763989882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11068.779674625317</v>
      </c>
      <c r="C90" s="755">
        <f>SUM(C87:C89)</f>
        <v>86516.291753946105</v>
      </c>
      <c r="D90" s="755">
        <f t="shared" ref="D90:H90" si="12">SUM(D87:D89)</f>
        <v>97443.17474008353</v>
      </c>
      <c r="E90" s="755">
        <f t="shared" si="12"/>
        <v>0</v>
      </c>
      <c r="F90" s="755">
        <f t="shared" si="12"/>
        <v>4340.6979116177708</v>
      </c>
      <c r="G90" s="755">
        <f t="shared" si="12"/>
        <v>0</v>
      </c>
      <c r="H90" s="755">
        <f t="shared" si="12"/>
        <v>0</v>
      </c>
      <c r="I90" s="755">
        <f>SUM(I87:I89)</f>
        <v>13022.093734853313</v>
      </c>
      <c r="J90" s="755">
        <f>SUM(J87:J89)</f>
        <v>0</v>
      </c>
      <c r="K90" s="755">
        <f t="shared" ref="K90:L90" si="13">SUM(K87:K89)</f>
        <v>0</v>
      </c>
      <c r="L90" s="755">
        <f t="shared" si="13"/>
        <v>0</v>
      </c>
      <c r="M90" s="755">
        <f>SUM(M87:M89)</f>
        <v>0</v>
      </c>
      <c r="N90" s="755">
        <f>SUM(N87:N89)</f>
        <v>0</v>
      </c>
      <c r="O90" s="755">
        <f>SUM(O87:O89)</f>
        <v>0</v>
      </c>
      <c r="P90" s="755">
        <v>0</v>
      </c>
      <c r="Q90" s="755">
        <f>SUM(Q87:Q89)</f>
        <v>20842.48763989882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9979.0778030009787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70857</v>
      </c>
      <c r="C8" s="570">
        <f>B101</f>
        <v>70753.96811705931</v>
      </c>
      <c r="D8" s="1044"/>
      <c r="E8" s="1044">
        <f>E101</f>
        <v>3151.8020883822287</v>
      </c>
      <c r="F8" s="1045"/>
      <c r="G8" s="571"/>
      <c r="H8" s="1044">
        <f>I101</f>
        <v>0</v>
      </c>
      <c r="I8" s="1044">
        <f>G101+F101</f>
        <v>9455.4062651466866</v>
      </c>
      <c r="J8" s="1044">
        <f>H101+D101+C101</f>
        <v>0</v>
      </c>
      <c r="K8" s="1044"/>
      <c r="L8" s="1044"/>
      <c r="M8" s="1044"/>
      <c r="N8" s="572"/>
      <c r="O8" s="573">
        <f>C8*$C$12+D8*$D$12+E8*$E$12+F8*$F$12+G8*$G$12+H8*$H$12+I8*$I$12+J8*$J$12</f>
        <v>15133.832717244037</v>
      </c>
      <c r="P8" s="1238"/>
      <c r="Q8" s="1239"/>
      <c r="S8" s="1007"/>
      <c r="T8" s="1275"/>
      <c r="U8" s="1275"/>
    </row>
    <row r="9" spans="1:21" s="559" customFormat="1" ht="17.45" customHeight="1" thickBot="1">
      <c r="A9" s="574" t="s">
        <v>248</v>
      </c>
      <c r="B9" s="575">
        <f>N89+'Eigen informatie GS &amp; warmtenet'!B12</f>
        <v>9945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90781.077803000982</v>
      </c>
      <c r="C10" s="583">
        <f t="shared" ref="C10:L10" si="0">SUM(C8:C9)</f>
        <v>70753.96811705931</v>
      </c>
      <c r="D10" s="583">
        <f t="shared" si="0"/>
        <v>0</v>
      </c>
      <c r="E10" s="583">
        <f t="shared" si="0"/>
        <v>3151.8020883822287</v>
      </c>
      <c r="F10" s="583">
        <f t="shared" si="0"/>
        <v>0</v>
      </c>
      <c r="G10" s="583">
        <f t="shared" si="0"/>
        <v>0</v>
      </c>
      <c r="H10" s="583">
        <f t="shared" si="0"/>
        <v>0</v>
      </c>
      <c r="I10" s="583">
        <f t="shared" si="0"/>
        <v>9455.4062651466866</v>
      </c>
      <c r="J10" s="583">
        <f t="shared" si="0"/>
        <v>28414.285714285717</v>
      </c>
      <c r="K10" s="583">
        <f t="shared" si="0"/>
        <v>0</v>
      </c>
      <c r="L10" s="583">
        <f t="shared" si="0"/>
        <v>0</v>
      </c>
      <c r="M10" s="1047"/>
      <c r="N10" s="1047"/>
      <c r="O10" s="584">
        <f>SUM(O4:O9)</f>
        <v>15133.832717244037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97585.07142857142</v>
      </c>
      <c r="C17" s="595">
        <f>B102</f>
        <v>97443.17474008353</v>
      </c>
      <c r="D17" s="596"/>
      <c r="E17" s="596">
        <f>E102</f>
        <v>4340.6979116177708</v>
      </c>
      <c r="F17" s="1050"/>
      <c r="G17" s="597"/>
      <c r="H17" s="595">
        <f>I102</f>
        <v>0</v>
      </c>
      <c r="I17" s="596">
        <f>G102+F102</f>
        <v>13022.093734853313</v>
      </c>
      <c r="J17" s="596">
        <f>H102+D102+C102</f>
        <v>0</v>
      </c>
      <c r="K17" s="596"/>
      <c r="L17" s="596"/>
      <c r="M17" s="596"/>
      <c r="N17" s="1051"/>
      <c r="O17" s="598">
        <f>C17*$C$22+E17*$E$22+H17*$H$22+I17*$I$22+J17*$J$22+D17*$D$22+F17*$F$22+G17*$G$22+K17*$K$22+L17*$L$22</f>
        <v>20842.48763989882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97585.07142857142</v>
      </c>
      <c r="C20" s="582">
        <f>SUM(C17:C19)</f>
        <v>97443.17474008353</v>
      </c>
      <c r="D20" s="582">
        <f t="shared" ref="D20:L20" si="1">SUM(D17:D19)</f>
        <v>0</v>
      </c>
      <c r="E20" s="582">
        <f t="shared" si="1"/>
        <v>4340.6979116177708</v>
      </c>
      <c r="F20" s="582">
        <f t="shared" si="1"/>
        <v>0</v>
      </c>
      <c r="G20" s="582">
        <f t="shared" si="1"/>
        <v>0</v>
      </c>
      <c r="H20" s="582">
        <f t="shared" si="1"/>
        <v>0</v>
      </c>
      <c r="I20" s="582">
        <f t="shared" si="1"/>
        <v>13022.093734853313</v>
      </c>
      <c r="J20" s="582">
        <f t="shared" si="1"/>
        <v>0</v>
      </c>
      <c r="K20" s="582">
        <f t="shared" si="1"/>
        <v>0</v>
      </c>
      <c r="L20" s="582">
        <f t="shared" si="1"/>
        <v>0</v>
      </c>
      <c r="M20" s="582"/>
      <c r="N20" s="582"/>
      <c r="O20" s="601">
        <f>SUM(O17:O19)</f>
        <v>20842.48763989882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12021</v>
      </c>
      <c r="C28" s="796">
        <v>2500</v>
      </c>
      <c r="D28" s="653" t="s">
        <v>881</v>
      </c>
      <c r="E28" s="652" t="s">
        <v>882</v>
      </c>
      <c r="F28" s="652" t="s">
        <v>883</v>
      </c>
      <c r="G28" s="652" t="s">
        <v>884</v>
      </c>
      <c r="H28" s="652" t="s">
        <v>885</v>
      </c>
      <c r="I28" s="652" t="s">
        <v>882</v>
      </c>
      <c r="J28" s="795">
        <v>39386</v>
      </c>
      <c r="K28" s="795">
        <v>39218</v>
      </c>
      <c r="L28" s="652" t="s">
        <v>886</v>
      </c>
      <c r="M28" s="652">
        <v>3116</v>
      </c>
      <c r="N28" s="652">
        <v>14022</v>
      </c>
      <c r="O28" s="652">
        <v>20031.428571428572</v>
      </c>
      <c r="P28" s="652">
        <v>40062.857142857145</v>
      </c>
      <c r="Q28" s="652">
        <v>0</v>
      </c>
      <c r="R28" s="652">
        <v>0</v>
      </c>
      <c r="S28" s="652">
        <v>0</v>
      </c>
      <c r="T28" s="652">
        <v>0</v>
      </c>
      <c r="U28" s="652">
        <v>0</v>
      </c>
      <c r="V28" s="652">
        <v>0</v>
      </c>
      <c r="W28" s="652">
        <v>0</v>
      </c>
      <c r="X28" s="652">
        <v>10</v>
      </c>
      <c r="Y28" s="652" t="s">
        <v>112</v>
      </c>
      <c r="Z28" s="654" t="s">
        <v>112</v>
      </c>
    </row>
    <row r="29" spans="1:26" s="606" customFormat="1" ht="25.5">
      <c r="A29" s="605"/>
      <c r="B29" s="796">
        <v>12021</v>
      </c>
      <c r="C29" s="796">
        <v>2500</v>
      </c>
      <c r="D29" s="653" t="s">
        <v>887</v>
      </c>
      <c r="E29" s="652" t="s">
        <v>888</v>
      </c>
      <c r="F29" s="652" t="s">
        <v>889</v>
      </c>
      <c r="G29" s="652" t="s">
        <v>884</v>
      </c>
      <c r="H29" s="652" t="s">
        <v>885</v>
      </c>
      <c r="I29" s="652" t="s">
        <v>888</v>
      </c>
      <c r="J29" s="795">
        <v>39370</v>
      </c>
      <c r="K29" s="795">
        <v>39444</v>
      </c>
      <c r="L29" s="652" t="s">
        <v>886</v>
      </c>
      <c r="M29" s="652">
        <v>1147</v>
      </c>
      <c r="N29" s="652">
        <v>5161.5</v>
      </c>
      <c r="O29" s="652">
        <v>7373.5714285714284</v>
      </c>
      <c r="P29" s="652">
        <v>14747.142857142859</v>
      </c>
      <c r="Q29" s="652">
        <v>0</v>
      </c>
      <c r="R29" s="652">
        <v>0</v>
      </c>
      <c r="S29" s="652">
        <v>0</v>
      </c>
      <c r="T29" s="652">
        <v>0</v>
      </c>
      <c r="U29" s="652">
        <v>0</v>
      </c>
      <c r="V29" s="652">
        <v>0</v>
      </c>
      <c r="W29" s="652">
        <v>0</v>
      </c>
      <c r="X29" s="652">
        <v>10</v>
      </c>
      <c r="Y29" s="652" t="s">
        <v>112</v>
      </c>
      <c r="Z29" s="654" t="s">
        <v>112</v>
      </c>
    </row>
    <row r="30" spans="1:26" s="606" customFormat="1" ht="38.25">
      <c r="A30" s="605"/>
      <c r="B30" s="796">
        <v>12021</v>
      </c>
      <c r="C30" s="796">
        <v>2500</v>
      </c>
      <c r="D30" s="653" t="s">
        <v>890</v>
      </c>
      <c r="E30" s="652" t="s">
        <v>891</v>
      </c>
      <c r="F30" s="652" t="s">
        <v>892</v>
      </c>
      <c r="G30" s="652" t="s">
        <v>884</v>
      </c>
      <c r="H30" s="652" t="s">
        <v>893</v>
      </c>
      <c r="I30" s="652" t="s">
        <v>891</v>
      </c>
      <c r="J30" s="795">
        <v>40823</v>
      </c>
      <c r="K30" s="795">
        <v>39630</v>
      </c>
      <c r="L30" s="652" t="s">
        <v>886</v>
      </c>
      <c r="M30" s="652">
        <v>2664</v>
      </c>
      <c r="N30" s="652">
        <v>11988</v>
      </c>
      <c r="O30" s="652">
        <v>13486.5</v>
      </c>
      <c r="P30" s="652">
        <v>0</v>
      </c>
      <c r="Q30" s="652">
        <v>0</v>
      </c>
      <c r="R30" s="652">
        <v>0</v>
      </c>
      <c r="S30" s="652">
        <v>7492.5</v>
      </c>
      <c r="T30" s="652">
        <v>0</v>
      </c>
      <c r="U30" s="652">
        <v>22477.5</v>
      </c>
      <c r="V30" s="652">
        <v>0</v>
      </c>
      <c r="W30" s="652">
        <v>0</v>
      </c>
      <c r="X30" s="652">
        <v>10</v>
      </c>
      <c r="Y30" s="652" t="s">
        <v>112</v>
      </c>
      <c r="Z30" s="654" t="s">
        <v>112</v>
      </c>
    </row>
    <row r="31" spans="1:26" s="606" customFormat="1" ht="38.25">
      <c r="A31" s="605"/>
      <c r="B31" s="796">
        <v>12021</v>
      </c>
      <c r="C31" s="796">
        <v>2500</v>
      </c>
      <c r="D31" s="653" t="s">
        <v>894</v>
      </c>
      <c r="E31" s="652" t="s">
        <v>895</v>
      </c>
      <c r="F31" s="652" t="s">
        <v>896</v>
      </c>
      <c r="G31" s="652" t="s">
        <v>884</v>
      </c>
      <c r="H31" s="652" t="s">
        <v>885</v>
      </c>
      <c r="I31" s="652" t="s">
        <v>897</v>
      </c>
      <c r="J31" s="795">
        <v>40016</v>
      </c>
      <c r="K31" s="795">
        <v>40023</v>
      </c>
      <c r="L31" s="652" t="s">
        <v>886</v>
      </c>
      <c r="M31" s="652">
        <v>1008</v>
      </c>
      <c r="N31" s="652">
        <v>4536</v>
      </c>
      <c r="O31" s="652">
        <v>6480</v>
      </c>
      <c r="P31" s="652">
        <v>12960</v>
      </c>
      <c r="Q31" s="652">
        <v>0</v>
      </c>
      <c r="R31" s="652">
        <v>0</v>
      </c>
      <c r="S31" s="652">
        <v>0</v>
      </c>
      <c r="T31" s="652">
        <v>0</v>
      </c>
      <c r="U31" s="652">
        <v>0</v>
      </c>
      <c r="V31" s="652">
        <v>0</v>
      </c>
      <c r="W31" s="652">
        <v>0</v>
      </c>
      <c r="X31" s="652">
        <v>10</v>
      </c>
      <c r="Y31" s="652" t="s">
        <v>112</v>
      </c>
      <c r="Z31" s="654" t="s">
        <v>112</v>
      </c>
    </row>
    <row r="32" spans="1:26" s="606" customFormat="1" ht="25.5">
      <c r="A32" s="605"/>
      <c r="B32" s="796">
        <v>12021</v>
      </c>
      <c r="C32" s="796">
        <v>2500</v>
      </c>
      <c r="D32" s="653" t="s">
        <v>898</v>
      </c>
      <c r="E32" s="652" t="s">
        <v>899</v>
      </c>
      <c r="F32" s="652" t="s">
        <v>900</v>
      </c>
      <c r="G32" s="652" t="s">
        <v>884</v>
      </c>
      <c r="H32" s="652" t="s">
        <v>885</v>
      </c>
      <c r="I32" s="652" t="s">
        <v>901</v>
      </c>
      <c r="J32" s="795">
        <v>39998</v>
      </c>
      <c r="K32" s="795">
        <v>40028</v>
      </c>
      <c r="L32" s="652" t="s">
        <v>886</v>
      </c>
      <c r="M32" s="652">
        <v>1562</v>
      </c>
      <c r="N32" s="652">
        <v>7029</v>
      </c>
      <c r="O32" s="652">
        <v>10041.428571428572</v>
      </c>
      <c r="P32" s="652">
        <v>20082.857142857145</v>
      </c>
      <c r="Q32" s="652">
        <v>0</v>
      </c>
      <c r="R32" s="652">
        <v>0</v>
      </c>
      <c r="S32" s="652">
        <v>0</v>
      </c>
      <c r="T32" s="652">
        <v>0</v>
      </c>
      <c r="U32" s="652">
        <v>0</v>
      </c>
      <c r="V32" s="652">
        <v>0</v>
      </c>
      <c r="W32" s="652">
        <v>0</v>
      </c>
      <c r="X32" s="652">
        <v>10</v>
      </c>
      <c r="Y32" s="652" t="s">
        <v>112</v>
      </c>
      <c r="Z32" s="654" t="s">
        <v>112</v>
      </c>
    </row>
    <row r="33" spans="1:26" s="606" customFormat="1" ht="25.5">
      <c r="A33" s="605"/>
      <c r="B33" s="796">
        <v>12021</v>
      </c>
      <c r="C33" s="796">
        <v>2500</v>
      </c>
      <c r="D33" s="653" t="s">
        <v>902</v>
      </c>
      <c r="E33" s="652" t="s">
        <v>903</v>
      </c>
      <c r="F33" s="652" t="s">
        <v>904</v>
      </c>
      <c r="G33" s="652" t="s">
        <v>884</v>
      </c>
      <c r="H33" s="652" t="s">
        <v>885</v>
      </c>
      <c r="I33" s="652" t="s">
        <v>903</v>
      </c>
      <c r="J33" s="795">
        <v>40043</v>
      </c>
      <c r="K33" s="795">
        <v>40043</v>
      </c>
      <c r="L33" s="652" t="s">
        <v>886</v>
      </c>
      <c r="M33" s="652">
        <v>2425</v>
      </c>
      <c r="N33" s="652">
        <v>10912.5</v>
      </c>
      <c r="O33" s="652">
        <v>15589.285714285714</v>
      </c>
      <c r="P33" s="652">
        <v>31178.571428571431</v>
      </c>
      <c r="Q33" s="652">
        <v>0</v>
      </c>
      <c r="R33" s="652">
        <v>0</v>
      </c>
      <c r="S33" s="652">
        <v>0</v>
      </c>
      <c r="T33" s="652">
        <v>0</v>
      </c>
      <c r="U33" s="652">
        <v>0</v>
      </c>
      <c r="V33" s="652">
        <v>0</v>
      </c>
      <c r="W33" s="652">
        <v>0</v>
      </c>
      <c r="X33" s="652">
        <v>10</v>
      </c>
      <c r="Y33" s="652" t="s">
        <v>112</v>
      </c>
      <c r="Z33" s="654" t="s">
        <v>112</v>
      </c>
    </row>
    <row r="34" spans="1:26" s="606" customFormat="1" ht="25.5">
      <c r="A34" s="605"/>
      <c r="B34" s="796">
        <v>12021</v>
      </c>
      <c r="C34" s="796">
        <v>2500</v>
      </c>
      <c r="D34" s="653" t="s">
        <v>905</v>
      </c>
      <c r="E34" s="652" t="s">
        <v>906</v>
      </c>
      <c r="F34" s="652" t="s">
        <v>907</v>
      </c>
      <c r="G34" s="652" t="s">
        <v>884</v>
      </c>
      <c r="H34" s="652" t="s">
        <v>885</v>
      </c>
      <c r="I34" s="652" t="s">
        <v>906</v>
      </c>
      <c r="J34" s="795">
        <v>40619</v>
      </c>
      <c r="K34" s="795">
        <v>40619</v>
      </c>
      <c r="L34" s="652" t="s">
        <v>886</v>
      </c>
      <c r="M34" s="652">
        <v>1184</v>
      </c>
      <c r="N34" s="652">
        <v>5328</v>
      </c>
      <c r="O34" s="652">
        <v>7611.4285714285716</v>
      </c>
      <c r="P34" s="652">
        <v>15222.857142857143</v>
      </c>
      <c r="Q34" s="652">
        <v>0</v>
      </c>
      <c r="R34" s="652">
        <v>0</v>
      </c>
      <c r="S34" s="652">
        <v>0</v>
      </c>
      <c r="T34" s="652">
        <v>0</v>
      </c>
      <c r="U34" s="652">
        <v>0</v>
      </c>
      <c r="V34" s="652">
        <v>0</v>
      </c>
      <c r="W34" s="652">
        <v>0</v>
      </c>
      <c r="X34" s="652">
        <v>10</v>
      </c>
      <c r="Y34" s="652" t="s">
        <v>112</v>
      </c>
      <c r="Z34" s="654" t="s">
        <v>112</v>
      </c>
    </row>
    <row r="35" spans="1:26" s="606" customFormat="1" ht="51">
      <c r="A35" s="605"/>
      <c r="B35" s="796">
        <v>12021</v>
      </c>
      <c r="C35" s="796">
        <v>2500</v>
      </c>
      <c r="D35" s="653" t="s">
        <v>908</v>
      </c>
      <c r="E35" s="652" t="s">
        <v>909</v>
      </c>
      <c r="F35" s="652" t="s">
        <v>910</v>
      </c>
      <c r="G35" s="652" t="s">
        <v>884</v>
      </c>
      <c r="H35" s="652" t="s">
        <v>885</v>
      </c>
      <c r="I35" s="652" t="s">
        <v>911</v>
      </c>
      <c r="J35" s="795">
        <v>41393</v>
      </c>
      <c r="K35" s="795">
        <v>41659</v>
      </c>
      <c r="L35" s="652" t="s">
        <v>886</v>
      </c>
      <c r="M35" s="652">
        <v>140</v>
      </c>
      <c r="N35" s="652">
        <v>630.00000000000011</v>
      </c>
      <c r="O35" s="652">
        <v>900.00000000000023</v>
      </c>
      <c r="P35" s="652">
        <v>1800.0000000000005</v>
      </c>
      <c r="Q35" s="652">
        <v>0</v>
      </c>
      <c r="R35" s="652">
        <v>0</v>
      </c>
      <c r="S35" s="652">
        <v>0</v>
      </c>
      <c r="T35" s="652">
        <v>0</v>
      </c>
      <c r="U35" s="652">
        <v>0</v>
      </c>
      <c r="V35" s="652">
        <v>0</v>
      </c>
      <c r="W35" s="652">
        <v>0</v>
      </c>
      <c r="X35" s="652">
        <v>1500</v>
      </c>
      <c r="Y35" s="652" t="s">
        <v>51</v>
      </c>
      <c r="Z35" s="654" t="s">
        <v>156</v>
      </c>
    </row>
    <row r="36" spans="1:26" s="606" customFormat="1" ht="25.5">
      <c r="A36" s="605"/>
      <c r="B36" s="796">
        <v>12021</v>
      </c>
      <c r="C36" s="796">
        <v>2500</v>
      </c>
      <c r="D36" s="653"/>
      <c r="E36" s="652"/>
      <c r="F36" s="652" t="s">
        <v>912</v>
      </c>
      <c r="G36" s="652" t="s">
        <v>884</v>
      </c>
      <c r="H36" s="652" t="s">
        <v>885</v>
      </c>
      <c r="I36" s="652" t="s">
        <v>913</v>
      </c>
      <c r="J36" s="795">
        <v>41990</v>
      </c>
      <c r="K36" s="795">
        <v>42188</v>
      </c>
      <c r="L36" s="652" t="s">
        <v>886</v>
      </c>
      <c r="M36" s="652">
        <v>2000</v>
      </c>
      <c r="N36" s="652">
        <v>9000</v>
      </c>
      <c r="O36" s="652">
        <v>12857.142857142857</v>
      </c>
      <c r="P36" s="652">
        <v>25714.285714285717</v>
      </c>
      <c r="Q36" s="652">
        <v>0</v>
      </c>
      <c r="R36" s="652">
        <v>0</v>
      </c>
      <c r="S36" s="652">
        <v>0</v>
      </c>
      <c r="T36" s="652">
        <v>0</v>
      </c>
      <c r="U36" s="652">
        <v>0</v>
      </c>
      <c r="V36" s="652">
        <v>0</v>
      </c>
      <c r="W36" s="652">
        <v>0</v>
      </c>
      <c r="X36" s="652">
        <v>10</v>
      </c>
      <c r="Y36" s="652" t="s">
        <v>914</v>
      </c>
      <c r="Z36" s="654" t="s">
        <v>112</v>
      </c>
    </row>
    <row r="37" spans="1:26" s="606" customFormat="1" ht="25.5">
      <c r="A37" s="605"/>
      <c r="B37" s="796">
        <v>12021</v>
      </c>
      <c r="C37" s="796">
        <v>2500</v>
      </c>
      <c r="D37" s="653" t="s">
        <v>915</v>
      </c>
      <c r="E37" s="652"/>
      <c r="F37" s="652" t="s">
        <v>916</v>
      </c>
      <c r="G37" s="652" t="s">
        <v>917</v>
      </c>
      <c r="H37" s="652" t="s">
        <v>885</v>
      </c>
      <c r="I37" s="652" t="s">
        <v>918</v>
      </c>
      <c r="J37" s="795">
        <v>42564</v>
      </c>
      <c r="K37" s="795">
        <v>42598</v>
      </c>
      <c r="L37" s="652" t="s">
        <v>919</v>
      </c>
      <c r="M37" s="652">
        <v>1500</v>
      </c>
      <c r="N37" s="652">
        <v>2250</v>
      </c>
      <c r="O37" s="652">
        <v>3214.2857142857142</v>
      </c>
      <c r="P37" s="652">
        <v>6428.5714285714294</v>
      </c>
      <c r="Q37" s="652">
        <v>0</v>
      </c>
      <c r="R37" s="652">
        <v>0</v>
      </c>
      <c r="S37" s="652">
        <v>0</v>
      </c>
      <c r="T37" s="652">
        <v>0</v>
      </c>
      <c r="U37" s="652">
        <v>0</v>
      </c>
      <c r="V37" s="652">
        <v>0</v>
      </c>
      <c r="W37" s="652">
        <v>0</v>
      </c>
      <c r="X37" s="652">
        <v>10</v>
      </c>
      <c r="Y37" s="652" t="s">
        <v>112</v>
      </c>
      <c r="Z37" s="654" t="s">
        <v>112</v>
      </c>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16746</v>
      </c>
      <c r="N58" s="610">
        <f>SUM(N28:N57)</f>
        <v>70857</v>
      </c>
      <c r="O58" s="610">
        <f t="shared" ref="O58:W58" si="2">SUM(O28:O57)</f>
        <v>97585.07142857142</v>
      </c>
      <c r="P58" s="610">
        <f t="shared" si="2"/>
        <v>168197.14285714284</v>
      </c>
      <c r="Q58" s="610">
        <f t="shared" si="2"/>
        <v>0</v>
      </c>
      <c r="R58" s="610">
        <f t="shared" si="2"/>
        <v>0</v>
      </c>
      <c r="S58" s="610">
        <f t="shared" si="2"/>
        <v>7492.5</v>
      </c>
      <c r="T58" s="610">
        <f t="shared" si="2"/>
        <v>0</v>
      </c>
      <c r="U58" s="610">
        <f t="shared" si="2"/>
        <v>22477.5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140</v>
      </c>
      <c r="N60" s="610">
        <f ca="1">SUMIF($Z$28:AD57,"tertiair",N28:N57)</f>
        <v>630.00000000000011</v>
      </c>
      <c r="O60" s="610">
        <f ca="1">SUMIF($Z$28:AE57,"tertiair",O28:O57)</f>
        <v>900.00000000000023</v>
      </c>
      <c r="P60" s="610">
        <f ca="1">SUMIF($Z$28:AF57,"tertiair",P28:P57)</f>
        <v>1800.0000000000005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16606</v>
      </c>
      <c r="N61" s="615">
        <f t="shared" si="4"/>
        <v>70227</v>
      </c>
      <c r="O61" s="615">
        <f t="shared" si="4"/>
        <v>96685.07142857142</v>
      </c>
      <c r="P61" s="615">
        <f t="shared" si="4"/>
        <v>166397.14285714284</v>
      </c>
      <c r="Q61" s="615">
        <f t="shared" si="4"/>
        <v>0</v>
      </c>
      <c r="R61" s="615">
        <f t="shared" si="4"/>
        <v>0</v>
      </c>
      <c r="S61" s="615">
        <f t="shared" si="4"/>
        <v>7492.5</v>
      </c>
      <c r="T61" s="615">
        <f t="shared" si="4"/>
        <v>0</v>
      </c>
      <c r="U61" s="615">
        <f t="shared" si="4"/>
        <v>22477.5</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12021</v>
      </c>
      <c r="C64" s="796">
        <v>2500</v>
      </c>
      <c r="D64" s="655" t="s">
        <v>920</v>
      </c>
      <c r="E64" s="655" t="s">
        <v>921</v>
      </c>
      <c r="F64" s="655" t="s">
        <v>922</v>
      </c>
      <c r="G64" s="655" t="s">
        <v>923</v>
      </c>
      <c r="H64" s="655" t="s">
        <v>924</v>
      </c>
      <c r="I64" s="655" t="s">
        <v>906</v>
      </c>
      <c r="J64" s="795">
        <v>34973</v>
      </c>
      <c r="K64" s="795">
        <v>37681</v>
      </c>
      <c r="L64" s="655" t="s">
        <v>925</v>
      </c>
      <c r="M64" s="655">
        <v>2210</v>
      </c>
      <c r="N64" s="655">
        <v>9945</v>
      </c>
      <c r="O64" s="655">
        <v>0</v>
      </c>
      <c r="P64" s="655">
        <v>0</v>
      </c>
      <c r="Q64" s="655">
        <v>0</v>
      </c>
      <c r="R64" s="655">
        <v>28414.285714285717</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2210</v>
      </c>
      <c r="N89" s="610">
        <f t="shared" ref="N89:W89" si="5">SUM(N64:N88)</f>
        <v>9945</v>
      </c>
      <c r="O89" s="610">
        <f t="shared" si="5"/>
        <v>0</v>
      </c>
      <c r="P89" s="610">
        <f t="shared" si="5"/>
        <v>0</v>
      </c>
      <c r="Q89" s="610">
        <f t="shared" si="5"/>
        <v>0</v>
      </c>
      <c r="R89" s="610">
        <f t="shared" si="5"/>
        <v>28414.285714285717</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2210</v>
      </c>
      <c r="N91" s="610">
        <f t="shared" si="7"/>
        <v>9945</v>
      </c>
      <c r="O91" s="610">
        <f t="shared" si="7"/>
        <v>0</v>
      </c>
      <c r="P91" s="610">
        <f t="shared" si="7"/>
        <v>0</v>
      </c>
      <c r="Q91" s="610">
        <f t="shared" si="7"/>
        <v>0</v>
      </c>
      <c r="R91" s="610">
        <f t="shared" si="7"/>
        <v>28414.285714285717</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0.5793390606096458</v>
      </c>
      <c r="C98" s="635">
        <f>IF(ISERROR(N58/(O58+N58)),0,N58/(N58+O58))</f>
        <v>0.4206609393903542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70753.96811705931</v>
      </c>
      <c r="C101" s="644">
        <f t="shared" si="9"/>
        <v>0</v>
      </c>
      <c r="D101" s="644">
        <f t="shared" si="9"/>
        <v>0</v>
      </c>
      <c r="E101" s="644">
        <f t="shared" si="9"/>
        <v>3151.8020883822287</v>
      </c>
      <c r="F101" s="644">
        <f t="shared" si="9"/>
        <v>0</v>
      </c>
      <c r="G101" s="644">
        <f t="shared" si="9"/>
        <v>9455.4062651466866</v>
      </c>
      <c r="H101" s="644">
        <f t="shared" si="9"/>
        <v>0</v>
      </c>
      <c r="I101" s="645">
        <f t="shared" si="9"/>
        <v>0</v>
      </c>
      <c r="J101" s="602"/>
      <c r="K101" s="602"/>
      <c r="L101" s="640"/>
      <c r="M101" s="640"/>
      <c r="N101" s="640"/>
      <c r="O101" s="627"/>
      <c r="P101" s="627"/>
    </row>
    <row r="102" spans="1:16" ht="15.75" thickBot="1">
      <c r="A102" s="646" t="s">
        <v>286</v>
      </c>
      <c r="B102" s="647">
        <f t="shared" ref="B102:I102" si="10">$B$98*P58</f>
        <v>97443.17474008353</v>
      </c>
      <c r="C102" s="647">
        <f t="shared" si="10"/>
        <v>0</v>
      </c>
      <c r="D102" s="647">
        <f t="shared" si="10"/>
        <v>0</v>
      </c>
      <c r="E102" s="647">
        <f t="shared" si="10"/>
        <v>4340.6979116177708</v>
      </c>
      <c r="F102" s="647">
        <f t="shared" si="10"/>
        <v>0</v>
      </c>
      <c r="G102" s="647">
        <f t="shared" si="10"/>
        <v>13022.093734853313</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57649.156319758185</v>
      </c>
      <c r="C4" s="477">
        <f>huishoudens!C8</f>
        <v>0</v>
      </c>
      <c r="D4" s="477">
        <f>huishoudens!D8</f>
        <v>172061.84715024999</v>
      </c>
      <c r="E4" s="477">
        <f>huishoudens!E8</f>
        <v>3782.10471798048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9840.1477080157092</v>
      </c>
      <c r="O4" s="477">
        <f>huishoudens!O8</f>
        <v>314.23</v>
      </c>
      <c r="P4" s="478">
        <f>huishoudens!P8</f>
        <v>1353.7333333333333</v>
      </c>
      <c r="Q4" s="479">
        <f>SUM(B4:P4)</f>
        <v>245001.21922933773</v>
      </c>
    </row>
    <row r="5" spans="1:17">
      <c r="A5" s="476" t="s">
        <v>156</v>
      </c>
      <c r="B5" s="477">
        <f ca="1">tertiair!B16</f>
        <v>72623.003261010308</v>
      </c>
      <c r="C5" s="477">
        <f ca="1">tertiair!C16</f>
        <v>900.00000000000023</v>
      </c>
      <c r="D5" s="477">
        <f ca="1">tertiair!D16</f>
        <v>68718.806320351781</v>
      </c>
      <c r="E5" s="477">
        <f>tertiair!E16</f>
        <v>944.31256220071134</v>
      </c>
      <c r="F5" s="477">
        <f ca="1">tertiair!F16</f>
        <v>10869.216956808294</v>
      </c>
      <c r="G5" s="477">
        <f>tertiair!G16</f>
        <v>0</v>
      </c>
      <c r="H5" s="477">
        <f>tertiair!H16</f>
        <v>0</v>
      </c>
      <c r="I5" s="477">
        <f>tertiair!I16</f>
        <v>0</v>
      </c>
      <c r="J5" s="477">
        <f>tertiair!J16</f>
        <v>0.1444967222597891</v>
      </c>
      <c r="K5" s="477">
        <f>tertiair!K16</f>
        <v>0</v>
      </c>
      <c r="L5" s="477">
        <f ca="1">tertiair!L16</f>
        <v>0</v>
      </c>
      <c r="M5" s="477">
        <f>tertiair!M16</f>
        <v>0</v>
      </c>
      <c r="N5" s="477">
        <f ca="1">tertiair!N16</f>
        <v>0</v>
      </c>
      <c r="O5" s="477">
        <f>tertiair!O16</f>
        <v>6.2533333333333339</v>
      </c>
      <c r="P5" s="478">
        <f>tertiair!P16</f>
        <v>152.53333333333333</v>
      </c>
      <c r="Q5" s="476">
        <f t="shared" ref="Q5:Q14" ca="1" si="0">SUM(B5:P5)</f>
        <v>154214.27026376</v>
      </c>
    </row>
    <row r="6" spans="1:17">
      <c r="A6" s="476" t="s">
        <v>194</v>
      </c>
      <c r="B6" s="477">
        <f>'openbare verlichting'!B8</f>
        <v>2172.2089999999998</v>
      </c>
      <c r="C6" s="477"/>
      <c r="D6" s="477"/>
      <c r="E6" s="477"/>
      <c r="F6" s="477"/>
      <c r="G6" s="477"/>
      <c r="H6" s="477"/>
      <c r="I6" s="477"/>
      <c r="J6" s="477"/>
      <c r="K6" s="477"/>
      <c r="L6" s="477"/>
      <c r="M6" s="477"/>
      <c r="N6" s="477"/>
      <c r="O6" s="477"/>
      <c r="P6" s="478"/>
      <c r="Q6" s="476">
        <f t="shared" si="0"/>
        <v>2172.2089999999998</v>
      </c>
    </row>
    <row r="7" spans="1:17">
      <c r="A7" s="476" t="s">
        <v>112</v>
      </c>
      <c r="B7" s="477">
        <f>landbouw!B8</f>
        <v>3005.5203848592732</v>
      </c>
      <c r="C7" s="477">
        <f>landbouw!C8</f>
        <v>96685.07142857142</v>
      </c>
      <c r="D7" s="477">
        <f>landbouw!D8</f>
        <v>10231.365721871116</v>
      </c>
      <c r="E7" s="477">
        <f>landbouw!E8</f>
        <v>88.341424029829383</v>
      </c>
      <c r="F7" s="477">
        <f>landbouw!F8</f>
        <v>5028.3355135266465</v>
      </c>
      <c r="G7" s="477">
        <f>landbouw!G8</f>
        <v>0</v>
      </c>
      <c r="H7" s="477">
        <f>landbouw!H8</f>
        <v>0</v>
      </c>
      <c r="I7" s="477">
        <f>landbouw!I8</f>
        <v>0</v>
      </c>
      <c r="J7" s="477">
        <f>landbouw!J8</f>
        <v>435.43535947701258</v>
      </c>
      <c r="K7" s="477">
        <f>landbouw!K8</f>
        <v>0</v>
      </c>
      <c r="L7" s="477">
        <f>landbouw!L8</f>
        <v>0</v>
      </c>
      <c r="M7" s="477">
        <f>landbouw!M8</f>
        <v>0</v>
      </c>
      <c r="N7" s="477">
        <f>landbouw!N8</f>
        <v>0</v>
      </c>
      <c r="O7" s="477">
        <f>landbouw!O8</f>
        <v>0</v>
      </c>
      <c r="P7" s="478">
        <f>landbouw!P8</f>
        <v>0</v>
      </c>
      <c r="Q7" s="476">
        <f t="shared" si="0"/>
        <v>115474.0698323353</v>
      </c>
    </row>
    <row r="8" spans="1:17">
      <c r="A8" s="476" t="s">
        <v>635</v>
      </c>
      <c r="B8" s="477">
        <f>industrie!B18</f>
        <v>50582.97472487246</v>
      </c>
      <c r="C8" s="477">
        <f>industrie!C18</f>
        <v>0</v>
      </c>
      <c r="D8" s="477">
        <f>industrie!D18</f>
        <v>43974.242452353152</v>
      </c>
      <c r="E8" s="477">
        <f>industrie!E18</f>
        <v>2211.4823460821472</v>
      </c>
      <c r="F8" s="477">
        <f>industrie!F18</f>
        <v>8851.6162277385065</v>
      </c>
      <c r="G8" s="477">
        <f>industrie!G18</f>
        <v>0</v>
      </c>
      <c r="H8" s="477">
        <f>industrie!H18</f>
        <v>0</v>
      </c>
      <c r="I8" s="477">
        <f>industrie!I18</f>
        <v>0</v>
      </c>
      <c r="J8" s="477">
        <f>industrie!J18</f>
        <v>36.320086529155084</v>
      </c>
      <c r="K8" s="477">
        <f>industrie!K18</f>
        <v>0</v>
      </c>
      <c r="L8" s="477">
        <f>industrie!L18</f>
        <v>0</v>
      </c>
      <c r="M8" s="477">
        <f>industrie!M18</f>
        <v>0</v>
      </c>
      <c r="N8" s="477">
        <f>industrie!N18</f>
        <v>12827.820005682745</v>
      </c>
      <c r="O8" s="477">
        <f>industrie!O18</f>
        <v>0</v>
      </c>
      <c r="P8" s="478">
        <f>industrie!P18</f>
        <v>0</v>
      </c>
      <c r="Q8" s="476">
        <f t="shared" si="0"/>
        <v>118484.45584325817</v>
      </c>
    </row>
    <row r="9" spans="1:17" s="482" customFormat="1">
      <c r="A9" s="480" t="s">
        <v>561</v>
      </c>
      <c r="B9" s="481">
        <f>transport!B14</f>
        <v>70.337400628356235</v>
      </c>
      <c r="C9" s="481">
        <f>transport!C14</f>
        <v>0</v>
      </c>
      <c r="D9" s="481">
        <f>transport!D14</f>
        <v>224.72287988167852</v>
      </c>
      <c r="E9" s="481">
        <f>transport!E14</f>
        <v>303.83163972643177</v>
      </c>
      <c r="F9" s="481">
        <f>transport!F14</f>
        <v>0</v>
      </c>
      <c r="G9" s="481">
        <f>transport!G14</f>
        <v>129505.13678949131</v>
      </c>
      <c r="H9" s="481">
        <f>transport!H14</f>
        <v>25474.493990438892</v>
      </c>
      <c r="I9" s="481">
        <f>transport!I14</f>
        <v>0</v>
      </c>
      <c r="J9" s="481">
        <f>transport!J14</f>
        <v>0</v>
      </c>
      <c r="K9" s="481">
        <f>transport!K14</f>
        <v>0</v>
      </c>
      <c r="L9" s="481">
        <f>transport!L14</f>
        <v>0</v>
      </c>
      <c r="M9" s="481">
        <f>transport!M14</f>
        <v>8317.9246275974238</v>
      </c>
      <c r="N9" s="481">
        <f>transport!N14</f>
        <v>0</v>
      </c>
      <c r="O9" s="481">
        <f>transport!O14</f>
        <v>0</v>
      </c>
      <c r="P9" s="481">
        <f>transport!P14</f>
        <v>0</v>
      </c>
      <c r="Q9" s="480">
        <f>SUM(B9:P9)</f>
        <v>163896.44732776409</v>
      </c>
    </row>
    <row r="10" spans="1:17">
      <c r="A10" s="476" t="s">
        <v>551</v>
      </c>
      <c r="B10" s="477">
        <f>transport!B54</f>
        <v>0</v>
      </c>
      <c r="C10" s="477">
        <f>transport!C54</f>
        <v>0</v>
      </c>
      <c r="D10" s="477">
        <f>transport!D54</f>
        <v>0</v>
      </c>
      <c r="E10" s="477">
        <f>transport!E54</f>
        <v>0</v>
      </c>
      <c r="F10" s="477">
        <f>transport!F54</f>
        <v>0</v>
      </c>
      <c r="G10" s="477">
        <f>transport!G54</f>
        <v>4432.0188094701907</v>
      </c>
      <c r="H10" s="477">
        <f>transport!H54</f>
        <v>0</v>
      </c>
      <c r="I10" s="477">
        <f>transport!I54</f>
        <v>0</v>
      </c>
      <c r="J10" s="477">
        <f>transport!J54</f>
        <v>0</v>
      </c>
      <c r="K10" s="477">
        <f>transport!K54</f>
        <v>0</v>
      </c>
      <c r="L10" s="477">
        <f>transport!L54</f>
        <v>0</v>
      </c>
      <c r="M10" s="477">
        <f>transport!M54</f>
        <v>251.71910289233458</v>
      </c>
      <c r="N10" s="477">
        <f>transport!N54</f>
        <v>0</v>
      </c>
      <c r="O10" s="477">
        <f>transport!O54</f>
        <v>0</v>
      </c>
      <c r="P10" s="478">
        <f>transport!P54</f>
        <v>0</v>
      </c>
      <c r="Q10" s="476">
        <f t="shared" si="0"/>
        <v>4683.7379123625251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3052.5373984140801</v>
      </c>
      <c r="C14" s="484"/>
      <c r="D14" s="484">
        <f>'SEAP template'!E25</f>
        <v>10039.4330258592</v>
      </c>
      <c r="E14" s="484"/>
      <c r="F14" s="484"/>
      <c r="G14" s="484"/>
      <c r="H14" s="484"/>
      <c r="I14" s="484"/>
      <c r="J14" s="484"/>
      <c r="K14" s="484"/>
      <c r="L14" s="484"/>
      <c r="M14" s="484"/>
      <c r="N14" s="484"/>
      <c r="O14" s="484"/>
      <c r="P14" s="485"/>
      <c r="Q14" s="476">
        <f t="shared" si="0"/>
        <v>13091.970424273281</v>
      </c>
    </row>
    <row r="15" spans="1:17" s="486" customFormat="1">
      <c r="A15" s="1039" t="s">
        <v>555</v>
      </c>
      <c r="B15" s="987">
        <f ca="1">SUM(B4:B14)</f>
        <v>189155.73848954265</v>
      </c>
      <c r="C15" s="987">
        <f t="shared" ref="C15:Q15" ca="1" si="1">SUM(C4:C14)</f>
        <v>97585.07142857142</v>
      </c>
      <c r="D15" s="987">
        <f t="shared" ca="1" si="1"/>
        <v>305250.4175505669</v>
      </c>
      <c r="E15" s="987">
        <f t="shared" si="1"/>
        <v>7330.0726900195996</v>
      </c>
      <c r="F15" s="987">
        <f t="shared" ca="1" si="1"/>
        <v>24749.168698073445</v>
      </c>
      <c r="G15" s="987">
        <f t="shared" si="1"/>
        <v>133937.15559896152</v>
      </c>
      <c r="H15" s="987">
        <f t="shared" si="1"/>
        <v>25474.493990438892</v>
      </c>
      <c r="I15" s="987">
        <f t="shared" si="1"/>
        <v>0</v>
      </c>
      <c r="J15" s="987">
        <f t="shared" si="1"/>
        <v>471.8999427284275</v>
      </c>
      <c r="K15" s="987">
        <f t="shared" si="1"/>
        <v>0</v>
      </c>
      <c r="L15" s="987">
        <f t="shared" ca="1" si="1"/>
        <v>0</v>
      </c>
      <c r="M15" s="987">
        <f t="shared" si="1"/>
        <v>8569.643730489759</v>
      </c>
      <c r="N15" s="987">
        <f t="shared" ca="1" si="1"/>
        <v>22667.967713698454</v>
      </c>
      <c r="O15" s="987">
        <f t="shared" si="1"/>
        <v>320.48333333333335</v>
      </c>
      <c r="P15" s="987">
        <f t="shared" si="1"/>
        <v>1506.2666666666667</v>
      </c>
      <c r="Q15" s="987">
        <f t="shared" ca="1" si="1"/>
        <v>817018.37983309117</v>
      </c>
    </row>
    <row r="17" spans="1:17">
      <c r="A17" s="487" t="s">
        <v>556</v>
      </c>
      <c r="B17" s="786">
        <f ca="1">huishoudens!B10</f>
        <v>0.19494324107438238</v>
      </c>
      <c r="C17" s="786">
        <f ca="1">huishoudens!C10</f>
        <v>0.213582747184386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11238.313378177374</v>
      </c>
      <c r="C22" s="477">
        <f t="shared" ref="C22:C32" ca="1" si="3">C4*$C$17</f>
        <v>0</v>
      </c>
      <c r="D22" s="477">
        <f t="shared" ref="D22:D32" si="4">D4*$D$17</f>
        <v>34756.493124350498</v>
      </c>
      <c r="E22" s="477">
        <f t="shared" ref="E22:E32" si="5">E4*$E$17</f>
        <v>858.537770981569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46853.344273509436</v>
      </c>
    </row>
    <row r="23" spans="1:17">
      <c r="A23" s="476" t="s">
        <v>156</v>
      </c>
      <c r="B23" s="477">
        <f t="shared" ca="1" si="2"/>
        <v>14157.363632256791</v>
      </c>
      <c r="C23" s="477">
        <f t="shared" ca="1" si="3"/>
        <v>192.22447246594746</v>
      </c>
      <c r="D23" s="477">
        <f t="shared" ca="1" si="4"/>
        <v>13881.198876711062</v>
      </c>
      <c r="E23" s="477">
        <f t="shared" si="5"/>
        <v>214.35895161956148</v>
      </c>
      <c r="F23" s="477">
        <f t="shared" ca="1" si="6"/>
        <v>2902.0809274678145</v>
      </c>
      <c r="G23" s="477">
        <f t="shared" si="7"/>
        <v>0</v>
      </c>
      <c r="H23" s="477">
        <f t="shared" si="8"/>
        <v>0</v>
      </c>
      <c r="I23" s="477">
        <f t="shared" si="9"/>
        <v>0</v>
      </c>
      <c r="J23" s="477">
        <f t="shared" si="10"/>
        <v>5.1151839679965339E-2</v>
      </c>
      <c r="K23" s="477">
        <f t="shared" si="11"/>
        <v>0</v>
      </c>
      <c r="L23" s="477">
        <f t="shared" ca="1" si="12"/>
        <v>0</v>
      </c>
      <c r="M23" s="477">
        <f t="shared" si="13"/>
        <v>0</v>
      </c>
      <c r="N23" s="477">
        <f t="shared" ca="1" si="14"/>
        <v>0</v>
      </c>
      <c r="O23" s="477">
        <f t="shared" si="15"/>
        <v>0</v>
      </c>
      <c r="P23" s="478">
        <f t="shared" si="16"/>
        <v>0</v>
      </c>
      <c r="Q23" s="476">
        <f t="shared" ref="Q23:Q32" ca="1" si="17">SUM(B23:P23)</f>
        <v>31347.278012360854</v>
      </c>
    </row>
    <row r="24" spans="1:17">
      <c r="A24" s="476" t="s">
        <v>194</v>
      </c>
      <c r="B24" s="477">
        <f t="shared" ca="1" si="2"/>
        <v>423.45746275094302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423.45746275094302</v>
      </c>
    </row>
    <row r="25" spans="1:17">
      <c r="A25" s="476" t="s">
        <v>112</v>
      </c>
      <c r="B25" s="477">
        <f t="shared" ca="1" si="2"/>
        <v>585.90588493959183</v>
      </c>
      <c r="C25" s="477">
        <f t="shared" ca="1" si="3"/>
        <v>20650.263167432873</v>
      </c>
      <c r="D25" s="477">
        <f t="shared" si="4"/>
        <v>2066.7358758179657</v>
      </c>
      <c r="E25" s="477">
        <f t="shared" si="5"/>
        <v>20.053503254771272</v>
      </c>
      <c r="F25" s="477">
        <f t="shared" si="6"/>
        <v>1342.5655821116147</v>
      </c>
      <c r="G25" s="477">
        <f t="shared" si="7"/>
        <v>0</v>
      </c>
      <c r="H25" s="477">
        <f t="shared" si="8"/>
        <v>0</v>
      </c>
      <c r="I25" s="477">
        <f t="shared" si="9"/>
        <v>0</v>
      </c>
      <c r="J25" s="477">
        <f t="shared" si="10"/>
        <v>154.14411725486244</v>
      </c>
      <c r="K25" s="477">
        <f t="shared" si="11"/>
        <v>0</v>
      </c>
      <c r="L25" s="477">
        <f t="shared" si="12"/>
        <v>0</v>
      </c>
      <c r="M25" s="477">
        <f t="shared" si="13"/>
        <v>0</v>
      </c>
      <c r="N25" s="477">
        <f t="shared" si="14"/>
        <v>0</v>
      </c>
      <c r="O25" s="477">
        <f t="shared" si="15"/>
        <v>0</v>
      </c>
      <c r="P25" s="478">
        <f t="shared" si="16"/>
        <v>0</v>
      </c>
      <c r="Q25" s="476">
        <f t="shared" ca="1" si="17"/>
        <v>24819.668130811679</v>
      </c>
    </row>
    <row r="26" spans="1:17">
      <c r="A26" s="476" t="s">
        <v>635</v>
      </c>
      <c r="B26" s="477">
        <f t="shared" ca="1" si="2"/>
        <v>9860.8090360502028</v>
      </c>
      <c r="C26" s="477">
        <f t="shared" ca="1" si="3"/>
        <v>0</v>
      </c>
      <c r="D26" s="477">
        <f t="shared" si="4"/>
        <v>8882.7969753753368</v>
      </c>
      <c r="E26" s="477">
        <f t="shared" si="5"/>
        <v>502.00649256064742</v>
      </c>
      <c r="F26" s="477">
        <f t="shared" si="6"/>
        <v>2363.3815328061814</v>
      </c>
      <c r="G26" s="477">
        <f t="shared" si="7"/>
        <v>0</v>
      </c>
      <c r="H26" s="477">
        <f t="shared" si="8"/>
        <v>0</v>
      </c>
      <c r="I26" s="477">
        <f t="shared" si="9"/>
        <v>0</v>
      </c>
      <c r="J26" s="477">
        <f t="shared" si="10"/>
        <v>12.8573106313209</v>
      </c>
      <c r="K26" s="477">
        <f t="shared" si="11"/>
        <v>0</v>
      </c>
      <c r="L26" s="477">
        <f t="shared" si="12"/>
        <v>0</v>
      </c>
      <c r="M26" s="477">
        <f t="shared" si="13"/>
        <v>0</v>
      </c>
      <c r="N26" s="477">
        <f t="shared" si="14"/>
        <v>0</v>
      </c>
      <c r="O26" s="477">
        <f t="shared" si="15"/>
        <v>0</v>
      </c>
      <c r="P26" s="478">
        <f t="shared" si="16"/>
        <v>0</v>
      </c>
      <c r="Q26" s="476">
        <f t="shared" ca="1" si="17"/>
        <v>21621.851347423686</v>
      </c>
    </row>
    <row r="27" spans="1:17" s="482" customFormat="1">
      <c r="A27" s="480" t="s">
        <v>561</v>
      </c>
      <c r="B27" s="780">
        <f t="shared" ca="1" si="2"/>
        <v>13.711800847239065</v>
      </c>
      <c r="C27" s="481">
        <f t="shared" ca="1" si="3"/>
        <v>0</v>
      </c>
      <c r="D27" s="481">
        <f t="shared" si="4"/>
        <v>45.394021736099063</v>
      </c>
      <c r="E27" s="481">
        <f t="shared" si="5"/>
        <v>68.969782217900018</v>
      </c>
      <c r="F27" s="481">
        <f t="shared" si="6"/>
        <v>0</v>
      </c>
      <c r="G27" s="481">
        <f t="shared" si="7"/>
        <v>34577.871522794179</v>
      </c>
      <c r="H27" s="481">
        <f t="shared" si="8"/>
        <v>6343.1490036192845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41049.096131214705</v>
      </c>
    </row>
    <row r="28" spans="1:17">
      <c r="A28" s="476" t="s">
        <v>551</v>
      </c>
      <c r="B28" s="477">
        <f t="shared" ca="1" si="2"/>
        <v>0</v>
      </c>
      <c r="C28" s="477">
        <f t="shared" ca="1" si="3"/>
        <v>0</v>
      </c>
      <c r="D28" s="477">
        <f t="shared" si="4"/>
        <v>0</v>
      </c>
      <c r="E28" s="477">
        <f t="shared" si="5"/>
        <v>0</v>
      </c>
      <c r="F28" s="477">
        <f t="shared" si="6"/>
        <v>0</v>
      </c>
      <c r="G28" s="477">
        <f t="shared" si="7"/>
        <v>1183.349022128541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1183.349022128541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595.07153394760405</v>
      </c>
      <c r="C32" s="477">
        <f t="shared" ca="1" si="3"/>
        <v>0</v>
      </c>
      <c r="D32" s="477">
        <f t="shared" si="4"/>
        <v>2027.9654712235586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2623.0370051711625</v>
      </c>
    </row>
    <row r="33" spans="1:17" s="486" customFormat="1">
      <c r="A33" s="1039" t="s">
        <v>555</v>
      </c>
      <c r="B33" s="987">
        <f ca="1">SUM(B22:B32)</f>
        <v>36874.632728969744</v>
      </c>
      <c r="C33" s="987">
        <f t="shared" ref="C33:Q33" ca="1" si="18">SUM(C22:C32)</f>
        <v>20842.48763989882</v>
      </c>
      <c r="D33" s="987">
        <f t="shared" ca="1" si="18"/>
        <v>61660.58434521452</v>
      </c>
      <c r="E33" s="987">
        <f t="shared" si="18"/>
        <v>1663.9265006344494</v>
      </c>
      <c r="F33" s="987">
        <f t="shared" ca="1" si="18"/>
        <v>6608.0280423856111</v>
      </c>
      <c r="G33" s="987">
        <f t="shared" si="18"/>
        <v>35761.220544922719</v>
      </c>
      <c r="H33" s="987">
        <f t="shared" si="18"/>
        <v>6343.1490036192845</v>
      </c>
      <c r="I33" s="987">
        <f t="shared" si="18"/>
        <v>0</v>
      </c>
      <c r="J33" s="987">
        <f t="shared" si="18"/>
        <v>167.0525797258633</v>
      </c>
      <c r="K33" s="987">
        <f t="shared" si="18"/>
        <v>0</v>
      </c>
      <c r="L33" s="987">
        <f t="shared" ca="1" si="18"/>
        <v>0</v>
      </c>
      <c r="M33" s="987">
        <f t="shared" si="18"/>
        <v>0</v>
      </c>
      <c r="N33" s="987">
        <f t="shared" ca="1" si="18"/>
        <v>0</v>
      </c>
      <c r="O33" s="987">
        <f t="shared" si="18"/>
        <v>0</v>
      </c>
      <c r="P33" s="987">
        <f t="shared" si="18"/>
        <v>0</v>
      </c>
      <c r="Q33" s="987">
        <f t="shared" ca="1" si="18"/>
        <v>169921.08138537098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9979.0778030009787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8037.0953253746848</v>
      </c>
      <c r="C8" s="1056">
        <f>'SEAP template'!C76</f>
        <v>62819.904674625323</v>
      </c>
      <c r="D8" s="1056">
        <f>'SEAP template'!D76</f>
        <v>70753.96811705931</v>
      </c>
      <c r="E8" s="1056">
        <f>'SEAP template'!E76</f>
        <v>0</v>
      </c>
      <c r="F8" s="1056">
        <f>'SEAP template'!F76</f>
        <v>3151.8020883822287</v>
      </c>
      <c r="G8" s="1056">
        <f>'SEAP template'!G76</f>
        <v>0</v>
      </c>
      <c r="H8" s="1056">
        <f>'SEAP template'!H76</f>
        <v>0</v>
      </c>
      <c r="I8" s="1056">
        <f>'SEAP template'!I76</f>
        <v>9455.4062651466866</v>
      </c>
      <c r="J8" s="1056">
        <f>'SEAP template'!J76</f>
        <v>0</v>
      </c>
      <c r="K8" s="1056">
        <f>'SEAP template'!K76</f>
        <v>0</v>
      </c>
      <c r="L8" s="1056">
        <f>'SEAP template'!L76</f>
        <v>0</v>
      </c>
      <c r="M8" s="1056">
        <f>'SEAP template'!M76</f>
        <v>0</v>
      </c>
      <c r="N8" s="1056">
        <f>'SEAP template'!N76</f>
        <v>0</v>
      </c>
      <c r="O8" s="1056">
        <f>'SEAP template'!O76</f>
        <v>0</v>
      </c>
      <c r="P8" s="1057">
        <f>'SEAP template'!Q76</f>
        <v>15133.832717244037</v>
      </c>
    </row>
    <row r="9" spans="1:16">
      <c r="A9" s="1059" t="s">
        <v>854</v>
      </c>
      <c r="B9" s="1056">
        <f>'SEAP template'!B77</f>
        <v>9945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28414.285714285717</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27961.173128375664</v>
      </c>
      <c r="C10" s="1060">
        <f>SUM(C4:C9)</f>
        <v>62819.904674625323</v>
      </c>
      <c r="D10" s="1060">
        <f t="shared" ref="D10:H10" si="0">SUM(D8:D9)</f>
        <v>70753.96811705931</v>
      </c>
      <c r="E10" s="1060">
        <f t="shared" si="0"/>
        <v>0</v>
      </c>
      <c r="F10" s="1060">
        <f t="shared" si="0"/>
        <v>3151.8020883822287</v>
      </c>
      <c r="G10" s="1060">
        <f t="shared" si="0"/>
        <v>0</v>
      </c>
      <c r="H10" s="1060">
        <f t="shared" si="0"/>
        <v>0</v>
      </c>
      <c r="I10" s="1060">
        <f>SUM(I8:I9)</f>
        <v>9455.4062651466866</v>
      </c>
      <c r="J10" s="1060">
        <f>SUM(J8:J9)</f>
        <v>28414.285714285717</v>
      </c>
      <c r="K10" s="1060">
        <f t="shared" ref="K10:L10" si="1">SUM(K8:K9)</f>
        <v>0</v>
      </c>
      <c r="L10" s="1060">
        <f t="shared" si="1"/>
        <v>0</v>
      </c>
      <c r="M10" s="1060">
        <f>SUM(M8:M9)</f>
        <v>0</v>
      </c>
      <c r="N10" s="1060">
        <f>SUM(N8:N9)</f>
        <v>0</v>
      </c>
      <c r="O10" s="1060">
        <f>SUM(O8:O9)</f>
        <v>0</v>
      </c>
      <c r="P10" s="1060">
        <f>SUM(P8:P9)</f>
        <v>15133.832717244037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0.19494324107438238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11068.779674625317</v>
      </c>
      <c r="C17" s="1062">
        <f>'SEAP template'!C87</f>
        <v>86516.291753946105</v>
      </c>
      <c r="D17" s="1057">
        <f>'SEAP template'!D87</f>
        <v>97443.17474008353</v>
      </c>
      <c r="E17" s="1057">
        <f>'SEAP template'!E87</f>
        <v>0</v>
      </c>
      <c r="F17" s="1057">
        <f>'SEAP template'!F87</f>
        <v>4340.6979116177708</v>
      </c>
      <c r="G17" s="1057">
        <f>'SEAP template'!G87</f>
        <v>0</v>
      </c>
      <c r="H17" s="1057">
        <f>'SEAP template'!H87</f>
        <v>0</v>
      </c>
      <c r="I17" s="1057">
        <f>'SEAP template'!I87</f>
        <v>13022.093734853313</v>
      </c>
      <c r="J17" s="1057">
        <f>'SEAP template'!J87</f>
        <v>0</v>
      </c>
      <c r="K17" s="1057">
        <f>'SEAP template'!K87</f>
        <v>0</v>
      </c>
      <c r="L17" s="1057">
        <f>'SEAP template'!L87</f>
        <v>0</v>
      </c>
      <c r="M17" s="1057">
        <f>'SEAP template'!M87</f>
        <v>0</v>
      </c>
      <c r="N17" s="1057">
        <f>'SEAP template'!N87</f>
        <v>0</v>
      </c>
      <c r="O17" s="1057">
        <f>'SEAP template'!O87</f>
        <v>0</v>
      </c>
      <c r="P17" s="1057">
        <f>'SEAP template'!Q87</f>
        <v>20842.48763989882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11068.779674625317</v>
      </c>
      <c r="C20" s="1060">
        <f>SUM(C17:C19)</f>
        <v>86516.291753946105</v>
      </c>
      <c r="D20" s="1060">
        <f t="shared" ref="D20:H20" si="2">SUM(D17:D19)</f>
        <v>97443.17474008353</v>
      </c>
      <c r="E20" s="1060">
        <f t="shared" si="2"/>
        <v>0</v>
      </c>
      <c r="F20" s="1060">
        <f t="shared" si="2"/>
        <v>4340.6979116177708</v>
      </c>
      <c r="G20" s="1060">
        <f t="shared" si="2"/>
        <v>0</v>
      </c>
      <c r="H20" s="1060">
        <f t="shared" si="2"/>
        <v>0</v>
      </c>
      <c r="I20" s="1060">
        <f>SUM(I17:I19)</f>
        <v>13022.093734853313</v>
      </c>
      <c r="J20" s="1060">
        <f>SUM(J17:J19)</f>
        <v>0</v>
      </c>
      <c r="K20" s="1060">
        <f t="shared" ref="K20:L20" si="3">SUM(K17:K19)</f>
        <v>0</v>
      </c>
      <c r="L20" s="1060">
        <f t="shared" si="3"/>
        <v>0</v>
      </c>
      <c r="M20" s="1060">
        <f>SUM(M17:M19)</f>
        <v>0</v>
      </c>
      <c r="N20" s="1060">
        <f>SUM(N17:N19)</f>
        <v>0</v>
      </c>
      <c r="O20" s="1060">
        <f>SUM(O17:O19)</f>
        <v>0</v>
      </c>
      <c r="P20" s="1060">
        <f>SUM(P17:P19)</f>
        <v>20842.48763989882</v>
      </c>
    </row>
    <row r="22" spans="1:16">
      <c r="A22" s="487" t="s">
        <v>862</v>
      </c>
      <c r="B22" s="786" t="s">
        <v>856</v>
      </c>
      <c r="C22" s="786">
        <f ca="1">'EF ele_warmte'!B22</f>
        <v>0.213582747184386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0.19494324107438238</v>
      </c>
      <c r="C17" s="524">
        <f ca="1">'EF ele_warmte'!B22</f>
        <v>0.213582747184386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2019-08-12T08:31:34Z</dcterms:modified>
</cp:coreProperties>
</file>