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E19"/>
  <c r="F89" i="14" s="1"/>
  <c r="F19" i="61" s="1"/>
  <c r="D19" i="18"/>
  <c r="C19"/>
  <c r="B19"/>
  <c r="N18"/>
  <c r="L88" i="14" s="1"/>
  <c r="M18" i="18"/>
  <c r="K88" i="14"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E9" s="1"/>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89" i="14"/>
  <c r="G19" i="61" s="1"/>
  <c r="H88" i="14"/>
  <c r="H18" i="61" s="1"/>
  <c r="D20" i="18"/>
  <c r="D88" i="14"/>
  <c r="D18" i="61" s="1"/>
  <c r="G12" i="18"/>
  <c r="F12"/>
  <c r="E12"/>
  <c r="D12"/>
  <c r="C12"/>
  <c r="L10"/>
  <c r="K10"/>
  <c r="E77" i="14"/>
  <c r="E9" i="61" s="1"/>
  <c r="B8" i="18"/>
  <c r="B6"/>
  <c r="B5"/>
  <c r="B73" i="14" s="1"/>
  <c r="B5" i="61" s="1"/>
  <c r="B4" i="18"/>
  <c r="B72" i="14" s="1"/>
  <c r="B4" i="61" s="1"/>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P19"/>
  <c r="O19"/>
  <c r="O22" s="1"/>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J26"/>
  <c r="E25"/>
  <c r="C25"/>
  <c r="B14" i="48" s="1"/>
  <c r="Q14" s="1"/>
  <c r="H26" i="14"/>
  <c r="G22"/>
  <c r="R12"/>
  <c r="D5" i="17"/>
  <c r="E90" i="14" l="1"/>
  <c r="E18" i="61"/>
  <c r="O9" i="18"/>
  <c r="K18" i="61"/>
  <c r="K20" s="1"/>
  <c r="K90" i="14"/>
  <c r="N78"/>
  <c r="N9" i="61"/>
  <c r="L78" i="14"/>
  <c r="L8" i="61"/>
  <c r="L10" s="1"/>
  <c r="O10"/>
  <c r="G20"/>
  <c r="Q11" i="48"/>
  <c r="O25"/>
  <c r="N10" i="61"/>
  <c r="E20"/>
  <c r="O32" i="48"/>
  <c r="C98" i="18"/>
  <c r="G101" s="1"/>
  <c r="I8" s="1"/>
  <c r="D13" i="15"/>
  <c r="O30" i="48"/>
  <c r="C13" i="15"/>
  <c r="K78" i="14"/>
  <c r="K8" i="61"/>
  <c r="K10" s="1"/>
  <c r="L90" i="14"/>
  <c r="L18" i="61"/>
  <c r="B10" i="18"/>
  <c r="H9"/>
  <c r="M77" i="14" s="1"/>
  <c r="M9" i="61" s="1"/>
  <c r="L20"/>
  <c r="P31" i="48"/>
  <c r="J22" i="14"/>
  <c r="P22"/>
  <c r="E10" i="61"/>
  <c r="B17" i="18"/>
  <c r="B20" s="1"/>
  <c r="G77" i="14"/>
  <c r="G9" i="61" s="1"/>
  <c r="G10" s="1"/>
  <c r="H20"/>
  <c r="P25" i="48"/>
  <c r="I77" i="14"/>
  <c r="I9" i="61" s="1"/>
  <c r="L13" i="15"/>
  <c r="B13"/>
  <c r="H90" i="14"/>
  <c r="N13" i="15"/>
  <c r="F77" i="14"/>
  <c r="F9" i="61" s="1"/>
  <c r="I101" i="18"/>
  <c r="H8" s="1"/>
  <c r="E101"/>
  <c r="E8" s="1"/>
  <c r="F101"/>
  <c r="H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D10"/>
  <c r="D101" i="18"/>
  <c r="J8" s="1"/>
  <c r="O8" s="1"/>
  <c r="O10" s="1"/>
  <c r="O90" i="14"/>
  <c r="O18" i="61"/>
  <c r="O2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78" i="14" l="1"/>
  <c r="C8" i="61"/>
  <c r="C10" s="1"/>
  <c r="B78" i="14"/>
  <c r="B4" i="6" s="1"/>
  <c r="B8" i="61"/>
  <c r="B10" s="1"/>
  <c r="B90" i="14"/>
  <c r="B17" i="61"/>
  <c r="B20" s="1"/>
  <c r="C90" i="14"/>
  <c r="C17" i="61"/>
  <c r="C20" s="1"/>
  <c r="H14" i="15"/>
  <c r="H16" s="1"/>
  <c r="G14"/>
  <c r="G16" s="1"/>
  <c r="G5" i="48" l="1"/>
  <c r="H10" i="14"/>
  <c r="H16" s="1"/>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7"/>
  <c r="I29"/>
  <c r="I28"/>
  <c r="I30"/>
  <c r="I22"/>
  <c r="I32"/>
  <c r="I26"/>
  <c r="I25"/>
  <c r="I24"/>
  <c r="I31"/>
  <c r="D4"/>
  <c r="D22" s="1"/>
  <c r="E11" i="14"/>
  <c r="H29" i="48"/>
  <c r="H32"/>
  <c r="H28"/>
  <c r="H22"/>
  <c r="H25"/>
  <c r="H30"/>
  <c r="H26"/>
  <c r="H24"/>
  <c r="H23"/>
  <c r="C4"/>
  <c r="D11" i="14"/>
  <c r="G23" i="48"/>
  <c r="G22"/>
  <c r="G30"/>
  <c r="G32"/>
  <c r="G25"/>
  <c r="G26"/>
  <c r="G29"/>
  <c r="G24"/>
  <c r="B4"/>
  <c r="C11" i="14"/>
  <c r="F30" i="48"/>
  <c r="F32"/>
  <c r="F24"/>
  <c r="F27"/>
  <c r="F29"/>
  <c r="F31"/>
  <c r="F28"/>
  <c r="N27"/>
  <c r="N31"/>
  <c r="N30"/>
  <c r="N32"/>
  <c r="N24"/>
  <c r="N28"/>
  <c r="N29"/>
  <c r="B10"/>
  <c r="C19" i="14"/>
  <c r="E31" i="48"/>
  <c r="E29"/>
  <c r="E32"/>
  <c r="E24"/>
  <c r="E30"/>
  <c r="E28"/>
  <c r="M29"/>
  <c r="M25"/>
  <c r="M26"/>
  <c r="M24"/>
  <c r="M30"/>
  <c r="M32"/>
  <c r="M22"/>
  <c r="M23"/>
  <c r="L10" i="14"/>
  <c r="L16" s="1"/>
  <c r="L27" s="1"/>
  <c r="K5" i="48"/>
  <c r="D30"/>
  <c r="D28"/>
  <c r="D24"/>
  <c r="D29"/>
  <c r="D31"/>
  <c r="D32"/>
  <c r="L29"/>
  <c r="L32"/>
  <c r="L27"/>
  <c r="L22"/>
  <c r="L28"/>
  <c r="L31"/>
  <c r="L24"/>
  <c r="L30"/>
  <c r="P5"/>
  <c r="P23" s="1"/>
  <c r="Q10" i="14"/>
  <c r="K32" i="48"/>
  <c r="K24"/>
  <c r="K30"/>
  <c r="K25"/>
  <c r="K28"/>
  <c r="K29"/>
  <c r="K27"/>
  <c r="K26"/>
  <c r="K31"/>
  <c r="K22"/>
  <c r="C24" i="14"/>
  <c r="C26" s="1"/>
  <c r="B7" i="48"/>
  <c r="J24"/>
  <c r="J31"/>
  <c r="J30"/>
  <c r="J32"/>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33" s="1"/>
  <c r="K15"/>
  <c r="C22" i="14"/>
  <c r="E9" i="48"/>
  <c r="E27" s="1"/>
  <c r="F20" i="14"/>
  <c r="F22" s="1"/>
  <c r="Q13"/>
  <c r="Q16" s="1"/>
  <c r="Q27" s="1"/>
  <c r="P8" i="48"/>
  <c r="P26" s="1"/>
  <c r="D9"/>
  <c r="D27" s="1"/>
  <c r="E20" i="14"/>
  <c r="E22" s="1"/>
  <c r="P10"/>
  <c r="O5" i="48"/>
  <c r="O23" s="1"/>
  <c r="C20" i="14"/>
  <c r="B9" i="48"/>
  <c r="J7"/>
  <c r="J25" s="1"/>
  <c r="K24" i="14"/>
  <c r="K26" s="1"/>
  <c r="G11"/>
  <c r="F4" i="48"/>
  <c r="F22" s="1"/>
  <c r="I5"/>
  <c r="J10" i="14"/>
  <c r="J16" s="1"/>
  <c r="J27" s="1"/>
  <c r="J63" s="1"/>
  <c r="P22" i="48"/>
  <c r="P15"/>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N19" i="14"/>
  <c r="M10" i="48"/>
  <c r="M28" s="1"/>
  <c r="I23"/>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E5"/>
  <c r="E23" s="1"/>
  <c r="F10" i="14"/>
  <c r="G28" i="4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J8"/>
  <c r="J26" s="1"/>
  <c r="J33" s="1"/>
  <c r="K13" i="14"/>
  <c r="G27" i="48"/>
  <c r="G33" s="1"/>
  <c r="G15"/>
  <c r="H63" i="14"/>
  <c r="R20"/>
  <c r="R22" s="1"/>
  <c r="K16"/>
  <c r="K27" s="1"/>
  <c r="K63" s="1"/>
  <c r="N8" i="48"/>
  <c r="N26" s="1"/>
  <c r="O13" i="14"/>
  <c r="F8" i="48"/>
  <c r="G13" i="14"/>
  <c r="E22" i="16"/>
  <c r="F43" i="14" s="1"/>
  <c r="F46" s="1"/>
  <c r="F61" s="1"/>
  <c r="F22" i="16"/>
  <c r="G43" i="14" s="1"/>
  <c r="N22" i="16"/>
  <c r="O43" i="14" s="1"/>
  <c r="J22" i="16"/>
  <c r="K43" i="14" s="1"/>
  <c r="K46" s="1"/>
  <c r="K61"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<sst xmlns="http://schemas.openxmlformats.org/spreadsheetml/2006/main" count="2383" uniqueCount="881">
  <si>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</si>
  <si>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</si>
  <si>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</si>
  <si>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</si>
  <si>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</si>
  <si>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</si>
  <si>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</si>
  <si>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</si>
  <si>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</si>
  <si>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</si>
  <si>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</si>
  <si>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</si>
  <si>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</si>
  <si>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</si>
  <si>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</si>
  <si>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</si>
  <si>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</si>
  <si>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</si>
  <si>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</si>
  <si>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</si>
  <si>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</si>
  <si>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</si>
  <si>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</si>
  <si>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</si>
  <si>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</si>
  <si>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</si>
  <si>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</si>
  <si>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</si>
  <si>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</si>
  <si>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</si>
  <si>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</si>
  <si>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</si>
  <si>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</si>
  <si>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</si>
  <si>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</si>
  <si>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</si>
  <si>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</si>
  <si>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</si>
  <si>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</si>
  <si>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</si>
  <si>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</si>
  <si>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</si>
  <si>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</si>
  <si>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</si>
  <si>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</si>
  <si>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</si>
  <si>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</si>
  <si>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</si>
  <si>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</si>
  <si>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</si>
  <si>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</si>
  <si>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</si>
  <si>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</si>
  <si>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</si>
  <si>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</si>
  <si>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</si>
  <si>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</si>
  <si>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</si>
  <si>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</si>
  <si>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</si>
  <si>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</si>
  <si>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</si>
  <si>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</si>
  <si>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</si>
  <si>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</si>
  <si>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</si>
  <si>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</si>
  <si>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</si>
  <si>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</si>
  <si>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</si>
  <si>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</si>
  <si>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</si>
  <si>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</si>
  <si>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</si>
  <si>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</si>
  <si>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</si>
  <si>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</si>
  <si>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</si>
  <si>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</si>
  <si>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</si>
  <si>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</si>
  <si>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</si>
  <si>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</si>
  <si>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</si>
  <si>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</si>
  <si>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</si>
  <si>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</si>
  <si>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</si>
  <si>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</si>
  <si>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</si>
  <si>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</si>
  <si>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</si>
  <si>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</si>
  <si>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</si>
  <si>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</si>
  <si>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</si>
  <si>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</si>
  <si>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</si>
  <si>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</si>
  <si>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</si>
  <si>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</si>
  <si>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</si>
  <si>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</si>
  <si>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</si>
  <si>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</si>
  <si>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</si>
  <si>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</si>
  <si>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</si>
  <si>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</si>
  <si>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</si>
  <si>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</si>
  <si>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</si>
  <si>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</si>
  <si>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</si>
  <si>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</si>
  <si>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</si>
  <si>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</si>
  <si>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</si>
  <si>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</si>
  <si>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</si>
  <si>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</si>
  <si>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</si>
  <si>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</si>
  <si>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</si>
  <si>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</si>
  <si>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</si>
  <si>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</si>
  <si>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</si>
  <si>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</si>
  <si>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</si>
  <si>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</si>
  <si>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</si>
  <si>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</si>
  <si>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</si>
  <si>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</si>
  <si>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</si>
  <si>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</si>
  <si>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</si>
  <si>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</si>
  <si>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</si>
  <si>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</si>
  <si>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</si>
  <si>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</si>
  <si>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</si>
  <si>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</si>
  <si>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</si>
  <si>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</si>
  <si>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</si>
  <si>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</si>
  <si>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</si>
  <si>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</si>
  <si>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</si>
  <si>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</si>
  <si>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</si>
  <si>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</si>
  <si>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</si>
  <si>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</si>
  <si>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</si>
  <si>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</si>
  <si>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</si>
  <si>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</si>
  <si>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</si>
  <si>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</si>
  <si>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</si>
  <si>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</si>
  <si>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</si>
  <si>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</si>
  <si>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</si>
  <si>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</si>
  <si>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</si>
  <si>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</si>
  <si>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</si>
  <si>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</si>
  <si>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</si>
  <si>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</si>
  <si>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</si>
  <si>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</si>
  <si>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</si>
  <si>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</si>
  <si>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</si>
  <si>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</si>
  <si>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</si>
  <si>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</si>
  <si>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</si>
  <si>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</si>
  <si>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</si>
  <si>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</si>
  <si>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</si>
  <si>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</si>
  <si>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</si>
  <si>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</si>
  <si>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</si>
  <si>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</si>
  <si>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</si>
  <si>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</si>
  <si>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</si>
  <si>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</si>
  <si>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</si>
  <si>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</si>
  <si>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</si>
  <si>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</si>
  <si>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</si>
  <si>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</si>
  <si>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</si>
  <si>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</si>
  <si>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</si>
  <si>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</si>
  <si>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</si>
  <si>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</si>
  <si>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</si>
  <si>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</si>
  <si>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</si>
  <si>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</si>
  <si>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</si>
  <si>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</si>
  <si>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</si>
  <si>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</si>
  <si>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</si>
  <si>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</si>
  <si>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</si>
  <si>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</si>
  <si>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</si>
  <si>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</si>
  <si>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</si>
  <si>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</si>
  <si>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</si>
  <si>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</si>
  <si>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</si>
  <si>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</si>
  <si>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</si>
  <si>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</si>
  <si>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</si>
  <si>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</si>
  <si>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</si>
  <si>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</si>
  <si>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</si>
  <si>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</si>
  <si>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</si>
  <si>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</si>
  <si>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</si>
  <si>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</si>
  <si>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</si>
  <si>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</si>
  <si>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</si>
  <si>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</si>
  <si>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</si>
  <si>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</si>
  <si>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</si>
  <si>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</si>
  <si>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</si>
  <si>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</si>
  <si>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</si>
  <si>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</si>
  <si>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</si>
  <si>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</si>
  <si>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</si>
  <si>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</si>
  <si>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</si>
  <si>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</si>
  <si>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</si>
  <si>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</si>
  <si>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</si>
  <si>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</si>
  <si>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</si>
  <si>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</si>
  <si>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</si>
  <si>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</si>
  <si>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</si>
  <si>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</si>
  <si>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</si>
  <si>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</si>
  <si>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</si>
  <si>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</si>
  <si>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</si>
  <si>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</si>
  <si>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</si>
  <si>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</si>
  <si>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</si>
  <si>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</si>
  <si>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</si>
  <si>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</si>
  <si>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</si>
  <si>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</si>
  <si>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</si>
  <si>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</si>
  <si>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</si>
  <si>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</si>
  <si>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</si>
  <si>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</si>
  <si>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</si>
  <si>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</si>
  <si>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</si>
  <si>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</si>
  <si>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</si>
  <si>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</si>
  <si>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</si>
  <si>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</si>
  <si>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</si>
  <si>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</si>
  <si>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</si>
  <si>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</si>
  <si>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</si>
  <si>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</si>
  <si>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</si>
  <si>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</si>
  <si>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</si>
  <si>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</si>
  <si>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</si>
  <si>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</si>
  <si>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</si>
  <si>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</si>
  <si>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</si>
  <si>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</si>
  <si>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</si>
  <si>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</si>
  <si>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</si>
  <si>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</si>
  <si>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</si>
  <si>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</si>
  <si>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</si>
  <si>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</si>
  <si>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</si>
  <si>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</si>
  <si>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</si>
  <si>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</si>
  <si>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</si>
  <si>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</si>
  <si>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</si>
  <si>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</si>
  <si>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</si>
  <si>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</si>
  <si>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</si>
  <si>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</si>
  <si>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</si>
  <si>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</si>
  <si>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</si>
  <si>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</si>
  <si>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</si>
  <si>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</si>
  <si>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</si>
  <si>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</si>
  <si>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</si>
  <si>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</si>
  <si>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</si>
  <si>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</si>
  <si>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</si>
  <si>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</si>
  <si>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</si>
  <si>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</si>
  <si>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</si>
  <si>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</si>
  <si>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</si>
  <si>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</si>
  <si>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</si>
  <si>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</si>
  <si>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</si>
  <si>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</si>
  <si>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</si>
  <si>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</si>
  <si>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</si>
  <si>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</si>
  <si>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</si>
  <si>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</si>
  <si>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</si>
  <si>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</si>
  <si>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</si>
  <si>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</si>
  <si>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</si>
  <si>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</si>
  <si>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</si>
  <si>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</si>
  <si>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</si>
  <si>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</si>
  <si>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</si>
  <si>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</si>
  <si>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</si>
  <si>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</si>
  <si>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</si>
  <si>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</si>
  <si>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</si>
  <si>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</si>
  <si>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</si>
  <si>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</si>
  <si>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</si>
  <si>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</si>
  <si>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</si>
  <si>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</si>
  <si>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</si>
  <si>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</si>
  <si>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</si>
  <si>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</si>
  <si>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</si>
  <si>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</si>
  <si>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</si>
  <si>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</si>
  <si>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</si>
  <si>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</si>
  <si>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</si>
  <si>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</si>
  <si>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</si>
  <si>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</si>
  <si>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</si>
  <si>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</si>
  <si>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</si>
  <si>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</si>
  <si>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</si>
  <si>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</si>
  <si>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</si>
  <si>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</si>
  <si>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</si>
  <si>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</si>
  <si>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</si>
  <si>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</si>
  <si>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</si>
  <si>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</si>
  <si>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</si>
  <si>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</si>
  <si>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</si>
  <si>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</si>
  <si>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</si>
  <si>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</si>
  <si>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</si>
  <si>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</si>
  <si>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</si>
  <si>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</si>
  <si>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</si>
  <si>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</si>
  <si>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</si>
  <si>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</si>
  <si>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</si>
  <si>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</si>
  <si>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</si>
  <si>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</si>
  <si>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</si>
  <si>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</si>
  <si>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</si>
  <si>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</si>
  <si>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</si>
  <si>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</si>
  <si>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</si>
  <si>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</si>
  <si>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</si>
  <si>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</si>
  <si>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</si>
  <si>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</si>
  <si>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</si>
  <si>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</si>
  <si>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</si>
  <si>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</si>
  <si>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</si>
  <si>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</si>
  <si>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</si>
  <si>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</si>
  <si>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</si>
  <si>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</si>
  <si>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</si>
  <si>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</si>
  <si>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</si>
  <si>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</si>
  <si>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</si>
  <si>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</si>
  <si>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</si>
  <si>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</si>
  <si>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</si>
  <si>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</si>
  <si>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</si>
  <si>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</si>
  <si>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</si>
  <si>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</si>
  <si>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</si>
  <si>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</si>
  <si>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</si>
  <si>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</si>
  <si>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</si>
  <si>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</si>
  <si>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</si>
  <si>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</si>
  <si>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</si>
  <si>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</si>
  <si>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</si>
  <si>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</si>
  <si>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</si>
  <si>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</si>
  <si>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</si>
  <si>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</si>
  <si>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</si>
  <si>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</si>
  <si>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</si>
  <si>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</si>
  <si>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</si>
  <si>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</si>
  <si>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</si>
  <si>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</si>
  <si>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</si>
  <si>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</si>
  <si>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</si>
  <si>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</si>
  <si>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</si>
  <si>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</si>
  <si>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</si>
  <si>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</si>
  <si>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</si>
  <si>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</si>
  <si>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</si>
  <si>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</si>
  <si>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</si>
  <si>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</si>
  <si>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</si>
  <si>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</si>
  <si>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</si>
  <si>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</si>
  <si>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</si>
  <si>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</si>
  <si>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</si>
  <si>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</si>
  <si>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</si>
  <si>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</si>
  <si>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</si>
  <si>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</si>
  <si>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</si>
  <si>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</si>
  <si>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</si>
  <si>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</si>
  <si>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</si>
  <si>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</si>
  <si>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</si>
  <si>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</si>
  <si>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</si>
  <si>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</si>
  <si>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</si>
  <si>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</si>
  <si>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</si>
  <si>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</si>
  <si>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</si>
  <si>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</si>
  <si>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</si>
  <si>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</si>
  <si>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</si>
  <si>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</si>
  <si>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</si>
  <si>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</si>
  <si>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</si>
  <si>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</si>
  <si>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</si>
  <si>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</si>
  <si>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</si>
  <si>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</si>
  <si>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</si>
  <si>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</si>
  <si>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</si>
  <si>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</si>
  <si>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</si>
  <si>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</si>
  <si>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</si>
  <si>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</si>
  <si>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</si>
  <si>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</si>
  <si>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</si>
  <si>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</si>
  <si>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</si>
  <si>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</si>
  <si>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</si>
  <si>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</si>
  <si>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</si>
  <si>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</si>
  <si>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</si>
  <si>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</si>
  <si>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</si>
  <si>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</si>
  <si>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</si>
  <si>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</si>
  <si>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</si>
  <si>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</si>
  <si>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</si>
  <si>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</si>
  <si>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</si>
  <si>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</si>
  <si>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</si>
  <si>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</si>
  <si>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</si>
  <si>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</si>
  <si>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</si>
  <si>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</si>
  <si>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</si>
  <si>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</si>
  <si>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</si>
  <si>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</si>
  <si>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</si>
  <si>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</si>
  <si>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</si>
  <si>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</si>
  <si>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</si>
  <si>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</si>
  <si>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</si>
  <si>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</si>
  <si>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</si>
  <si>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</si>
  <si>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</si>
  <si>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</si>
  <si>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</si>
  <si>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</si>
  <si>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</si>
  <si>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</si>
  <si>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</si>
  <si>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</si>
  <si>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</si>
  <si>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</si>
  <si>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</si>
  <si>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</si>
  <si>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</si>
  <si>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</si>
  <si>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</si>
  <si>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</si>
  <si>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</si>
  <si>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</si>
  <si>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</si>
  <si>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</si>
  <si>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</si>
  <si>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</si>
  <si>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</si>
  <si>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</si>
  <si>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</si>
  <si>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</si>
  <si>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</si>
  <si>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</si>
  <si>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</si>
  <si>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</si>
  <si>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</si>
  <si>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</si>
  <si>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</si>
  <si>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</si>
  <si>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</si>
  <si>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</si>
  <si>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</si>
  <si>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</si>
  <si>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</si>
  <si>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</si>
  <si>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</si>
  <si>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</si>
  <si>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</si>
  <si>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</si>
  <si>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</si>
  <si>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</si>
  <si>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</si>
  <si>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</si>
  <si>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</si>
  <si>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</si>
  <si>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</si>
  <si>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</si>
  <si>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</si>
  <si>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</si>
  <si>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</si>
  <si>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</si>
  <si>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</si>
  <si>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</si>
  <si>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</si>
  <si>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</si>
  <si>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</si>
  <si>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</si>
  <si>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</si>
  <si>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</si>
  <si>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</si>
  <si>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</si>
  <si>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</si>
  <si>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</si>
  <si>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</si>
  <si>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</si>
  <si>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</si>
  <si>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</si>
  <si>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</si>
  <si>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</si>
  <si>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</si>
  <si>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</si>
  <si>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</si>
  <si>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</si>
  <si>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</si>
  <si>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</si>
  <si>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</si>
  <si>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</si>
  <si>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</si>
  <si>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</si>
  <si>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</si>
  <si>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</si>
  <si>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</si>
  <si>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</si>
  <si>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</si>
  <si>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</si>
  <si>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</si>
  <si>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</si>
  <si>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</si>
  <si>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</si>
  <si>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</si>
  <si>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</si>
  <si>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</si>
  <si>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</si>
  <si>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</si>
  <si>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</si>
  <si>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</si>
  <si>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</si>
  <si>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</si>
  <si>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</si>
  <si>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</si>
  <si>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</si>
  <si>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</si>
  <si>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</si>
  <si>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</si>
  <si>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</si>
  <si>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</si>
  <si>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</si>
  <si>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</si>
  <si>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</si>
  <si>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</si>
  <si>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</si>
  <si>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</si>
  <si>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</si>
  <si>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</si>
  <si>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</si>
  <si>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</si>
  <si>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</si>
  <si>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</si>
  <si>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</si>
  <si>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</si>
  <si>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</si>
  <si>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</si>
  <si>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</si>
  <si>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</si>
  <si>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</si>
  <si>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</si>
  <si>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</si>
  <si>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</si>
  <si>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</si>
  <si>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</si>
  <si>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</si>
  <si>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</si>
  <si>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</si>
  <si>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</si>
  <si>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</si>
  <si>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</si>
  <si>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</si>
  <si>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</si>
  <si>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</si>
  <si>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</si>
  <si>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</si>
  <si>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</si>
  <si>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</si>
  <si>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</si>
  <si>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</si>
  <si>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</si>
  <si>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</si>
  <si>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</si>
  <si>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</si>
  <si>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</si>
  <si>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</si>
  <si>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</si>
  <si>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</si>
  <si>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</si>
  <si>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</si>
  <si>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</si>
  <si>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</si>
  <si>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</si>
  <si>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</si>
  <si>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</si>
  <si>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</si>
  <si>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</si>
  <si>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</si>
  <si>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</si>
  <si>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</si>
  <si>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</si>
  <si>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</si>
  <si>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</si>
  <si>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</si>
  <si>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</si>
  <si>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</si>
  <si>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</si>
  <si>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</si>
  <si>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</si>
  <si>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</si>
  <si>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</si>
  <si>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</si>
  <si>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</si>
  <si>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</si>
  <si>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</si>
  <si>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</si>
  <si>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</si>
  <si>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</si>
  <si>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</si>
  <si>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</si>
  <si>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</si>
  <si>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</si>
  <si>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</si>
  <si>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</si>
  <si>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</si>
  <si>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</si>
  <si>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</si>
  <si>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</si>
  <si>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</si>
  <si>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</si>
  <si>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</si>
  <si>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</si>
  <si>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</si>
  <si>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</si>
  <si>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</si>
  <si>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</si>
  <si>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</si>
  <si>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</si>
  <si>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</si>
  <si>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</si>
  <si>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</si>
  <si>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</si>
  <si>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</si>
  <si>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</si>
  <si>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</si>
  <si>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</si>
  <si>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</si>
  <si>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</si>
  <si>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</si>
  <si>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</si>
  <si>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</si>
  <si>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</si>
  <si>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</si>
  <si>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</si>
  <si>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</si>
  <si>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</si>
  <si>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</si>
  <si>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</si>
  <si>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</si>
  <si>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</si>
  <si>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</si>
  <si>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</si>
  <si>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</si>
  <si>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</si>
  <si>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</si>
  <si>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</si>
  <si>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</si>
  <si>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</si>
  <si>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</si>
  <si>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</si>
  <si>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</si>
  <si>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</si>
  <si>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</si>
  <si>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</si>
  <si>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</si>
  <si>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</si>
  <si>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</si>
  <si>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</si>
  <si>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</si>
  <si>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</si>
  <si>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</si>
  <si>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</si>
  <si>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</si>
  <si>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</si>
  <si>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</si>
  <si>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</si>
  <si>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</si>
  <si>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</si>
  <si>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</si>
  <si>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</si>
  <si>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</si>
  <si>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</si>
  <si>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</si>
  <si>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</si>
  <si>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</si>
  <si>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</si>
  <si>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</si>
  <si>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</si>
  <si>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</si>
  <si>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</si>
  <si>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</si>
  <si>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</si>
  <si>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</si>
  <si>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</si>
  <si>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</si>
  <si>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</si>
  <si>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12014</t>
  </si>
  <si>
    <t>HEIST-OP-DEN-BERG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</si>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</sst>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374572.2074211039</c:v>
                </c:pt>
                <c:pt idx="1">
                  <c:v>118936.50285439353</c:v>
                </c:pt>
                <c:pt idx="2">
                  <c:v>2824.5070000000001</c:v>
                </c:pt>
                <c:pt idx="3">
                  <c:v>11901.918787422663</c:v>
                </c:pt>
                <c:pt idx="4">
                  <c:v>130002.47407357331</c:v>
                </c:pt>
                <c:pt idx="5">
                  <c:v>193348.85109787117</c:v>
                </c:pt>
                <c:pt idx="6">
                  <c:v>2666.1705049550701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44480"/>
        <c:axId val="176646016"/>
      </c:barChart>
      <c:catAx>
        <c:axId val="176644480"/>
        <c:scaling>
          <c:orientation val="minMax"/>
        </c:scaling>
        <c:axPos val="b"/>
        <c:numFmt formatCode="General" sourceLinked="0"/>
        <c:tickLblPos val="nextTo"/>
        <c:crossAx val="176646016"/>
        <c:crosses val="autoZero"/>
        <c:auto val="1"/>
        <c:lblAlgn val="ctr"/>
        <c:lblOffset val="100"/>
      </c:catAx>
      <c:valAx>
        <c:axId val="176646016"/>
        <c:scaling>
          <c:orientation val="minMax"/>
        </c:scaling>
        <c:axPos val="l"/>
        <c:majorGridlines>
          <c:spPr>
            <a:ln>
              <a:noFill/>
            </a:ln>
          </c:spPr>
        </c:majorGridlines>
        <c:numFmt formatCode="#,##0" sourceLinked="1"/>
        <c:tickLblPos val="nextTo"/>
        <c:crossAx val="17664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374572.2074211039</c:v>
                </c:pt>
                <c:pt idx="1">
                  <c:v>118936.50285439353</c:v>
                </c:pt>
                <c:pt idx="2">
                  <c:v>2824.5070000000001</c:v>
                </c:pt>
                <c:pt idx="3">
                  <c:v>11901.918787422663</c:v>
                </c:pt>
                <c:pt idx="4">
                  <c:v>130002.47407357331</c:v>
                </c:pt>
                <c:pt idx="5">
                  <c:v>193348.85109787117</c:v>
                </c:pt>
                <c:pt idx="6">
                  <c:v>2666.1705049550701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73271.362391039685</c:v>
                </c:pt>
                <c:pt idx="2">
                  <c:v>23689.544528265458</c:v>
                </c:pt>
                <c:pt idx="3">
                  <c:v>579.49561551346687</c:v>
                </c:pt>
                <c:pt idx="4">
                  <c:v>2972.1785213418329</c:v>
                </c:pt>
                <c:pt idx="5">
                  <c:v>25731.380642622182</c:v>
                </c:pt>
                <c:pt idx="6">
                  <c:v>48322.781869405117</c:v>
                </c:pt>
                <c:pt idx="7">
                  <c:v>673.6094800563086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8208"/>
        <c:axId val="183361920"/>
      </c:barChart>
      <c:catAx>
        <c:axId val="183278208"/>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27820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73271.362391039685</c:v>
                </c:pt>
                <c:pt idx="2">
                  <c:v>23689.544528265458</c:v>
                </c:pt>
                <c:pt idx="3">
                  <c:v>579.49561551346687</c:v>
                </c:pt>
                <c:pt idx="4">
                  <c:v>2972.1785213418329</c:v>
                </c:pt>
                <c:pt idx="5">
                  <c:v>25731.380642622182</c:v>
                </c:pt>
                <c:pt idx="6">
                  <c:v>48322.781869405117</c:v>
                </c:pt>
                <c:pt idx="7">
                  <c:v>673.6094800563086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0.20516699569640537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0.20516699569640537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17819</v>
      </c>
      <c r="C9" s="342">
        <v>18634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3516.23</v>
      </c>
    </row>
    <row r="15" spans="1:6">
      <c r="A15" s="348" t="s">
        <v>184</v>
      </c>
      <c r="B15" s="334">
        <v>1011</v>
      </c>
    </row>
    <row r="16" spans="1:6">
      <c r="A16" s="348" t="s">
        <v>6</v>
      </c>
      <c r="B16" s="334">
        <v>1425</v>
      </c>
    </row>
    <row r="17" spans="1:6">
      <c r="A17" s="348" t="s">
        <v>7</v>
      </c>
      <c r="B17" s="334">
        <v>639</v>
      </c>
    </row>
    <row r="18" spans="1:6">
      <c r="A18" s="348" t="s">
        <v>8</v>
      </c>
      <c r="B18" s="334">
        <v>1332</v>
      </c>
    </row>
    <row r="19" spans="1:6">
      <c r="A19" s="348" t="s">
        <v>9</v>
      </c>
      <c r="B19" s="334">
        <v>1191</v>
      </c>
    </row>
    <row r="20" spans="1:6">
      <c r="A20" s="348" t="s">
        <v>10</v>
      </c>
      <c r="B20" s="334">
        <v>864</v>
      </c>
    </row>
    <row r="21" spans="1:6">
      <c r="A21" s="348" t="s">
        <v>11</v>
      </c>
      <c r="B21" s="334">
        <v>577</v>
      </c>
    </row>
    <row r="22" spans="1:6">
      <c r="A22" s="348" t="s">
        <v>12</v>
      </c>
      <c r="B22" s="334">
        <v>1660</v>
      </c>
    </row>
    <row r="23" spans="1:6">
      <c r="A23" s="348" t="s">
        <v>13</v>
      </c>
      <c r="B23" s="334">
        <v>30</v>
      </c>
    </row>
    <row r="24" spans="1:6">
      <c r="A24" s="348" t="s">
        <v>14</v>
      </c>
      <c r="B24" s="334">
        <v>2</v>
      </c>
    </row>
    <row r="25" spans="1:6">
      <c r="A25" s="348" t="s">
        <v>15</v>
      </c>
      <c r="B25" s="334">
        <v>178</v>
      </c>
    </row>
    <row r="26" spans="1:6">
      <c r="A26" s="348" t="s">
        <v>16</v>
      </c>
      <c r="B26" s="334">
        <v>186</v>
      </c>
    </row>
    <row r="27" spans="1:6">
      <c r="A27" s="348" t="s">
        <v>17</v>
      </c>
      <c r="B27" s="334">
        <v>614</v>
      </c>
    </row>
    <row r="28" spans="1:6" s="356" customFormat="1">
      <c r="A28" s="355" t="s">
        <v>18</v>
      </c>
      <c r="B28" s="355">
        <v>0</v>
      </c>
    </row>
    <row r="29" spans="1:6">
      <c r="A29" s="355" t="s">
        <v>744</v>
      </c>
      <c r="B29" s="355">
        <v>268</v>
      </c>
      <c r="C29" s="356"/>
      <c r="D29" s="356"/>
      <c r="E29" s="356"/>
      <c r="F29" s="356"/>
    </row>
    <row r="30" spans="1:6">
      <c r="A30" s="341" t="s">
        <v>745</v>
      </c>
      <c r="B30" s="341">
        <v>69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14900</v>
      </c>
    </row>
    <row r="37" spans="1:6">
      <c r="A37" s="348" t="s">
        <v>25</v>
      </c>
      <c r="B37" s="348" t="s">
        <v>28</v>
      </c>
      <c r="C37" s="334">
        <v>0</v>
      </c>
      <c r="D37" s="334">
        <v>0</v>
      </c>
      <c r="E37" s="334">
        <v>0</v>
      </c>
      <c r="F37" s="334">
        <v>0</v>
      </c>
    </row>
    <row r="38" spans="1:6">
      <c r="A38" s="348" t="s">
        <v>25</v>
      </c>
      <c r="B38" s="348" t="s">
        <v>29</v>
      </c>
      <c r="C38" s="334">
        <v>3</v>
      </c>
      <c r="D38" s="334">
        <v>431597.752392789</v>
      </c>
      <c r="E38" s="334">
        <v>3</v>
      </c>
      <c r="F38" s="334">
        <v>15399.9950631431</v>
      </c>
    </row>
    <row r="39" spans="1:6">
      <c r="A39" s="348" t="s">
        <v>30</v>
      </c>
      <c r="B39" s="348" t="s">
        <v>31</v>
      </c>
      <c r="C39" s="334">
        <v>9832</v>
      </c>
      <c r="D39" s="334">
        <v>159683262.52736601</v>
      </c>
      <c r="E39" s="334">
        <v>17650</v>
      </c>
      <c r="F39" s="334">
        <v>63562159.957710288</v>
      </c>
    </row>
    <row r="40" spans="1:6">
      <c r="A40" s="348" t="s">
        <v>30</v>
      </c>
      <c r="B40" s="348" t="s">
        <v>29</v>
      </c>
      <c r="C40" s="334">
        <v>0</v>
      </c>
      <c r="D40" s="334">
        <v>0</v>
      </c>
      <c r="E40" s="334">
        <v>0</v>
      </c>
      <c r="F40" s="334">
        <v>0</v>
      </c>
    </row>
    <row r="41" spans="1:6">
      <c r="A41" s="348" t="s">
        <v>32</v>
      </c>
      <c r="B41" s="348" t="s">
        <v>33</v>
      </c>
      <c r="C41" s="334">
        <v>100</v>
      </c>
      <c r="D41" s="334">
        <v>2592709.9789217701</v>
      </c>
      <c r="E41" s="334">
        <v>327</v>
      </c>
      <c r="F41" s="334">
        <v>18595473.811760399</v>
      </c>
    </row>
    <row r="42" spans="1:6">
      <c r="A42" s="348" t="s">
        <v>32</v>
      </c>
      <c r="B42" s="348" t="s">
        <v>34</v>
      </c>
      <c r="C42" s="334">
        <v>9</v>
      </c>
      <c r="D42" s="334">
        <v>29707146.135861799</v>
      </c>
      <c r="E42" s="334">
        <v>7</v>
      </c>
      <c r="F42" s="334">
        <v>24554751.927264899</v>
      </c>
    </row>
    <row r="43" spans="1:6">
      <c r="A43" s="348" t="s">
        <v>32</v>
      </c>
      <c r="B43" s="348" t="s">
        <v>35</v>
      </c>
      <c r="C43" s="334">
        <v>0</v>
      </c>
      <c r="D43" s="334">
        <v>0</v>
      </c>
      <c r="E43" s="334">
        <v>0</v>
      </c>
      <c r="F43" s="334">
        <v>0</v>
      </c>
    </row>
    <row r="44" spans="1:6">
      <c r="A44" s="348" t="s">
        <v>32</v>
      </c>
      <c r="B44" s="348" t="s">
        <v>36</v>
      </c>
      <c r="C44" s="334">
        <v>4</v>
      </c>
      <c r="D44" s="334">
        <v>170625.048224</v>
      </c>
      <c r="E44" s="334">
        <v>19</v>
      </c>
      <c r="F44" s="334">
        <v>720436.672981482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251160.24390738001</v>
      </c>
    </row>
    <row r="48" spans="1:6">
      <c r="A48" s="348" t="s">
        <v>32</v>
      </c>
      <c r="B48" s="348" t="s">
        <v>29</v>
      </c>
      <c r="C48" s="334">
        <v>69</v>
      </c>
      <c r="D48" s="334">
        <v>11940354.7543866</v>
      </c>
      <c r="E48" s="334">
        <v>107</v>
      </c>
      <c r="F48" s="334">
        <v>10712184.511632901</v>
      </c>
    </row>
    <row r="49" spans="1:6">
      <c r="A49" s="348" t="s">
        <v>32</v>
      </c>
      <c r="B49" s="348" t="s">
        <v>40</v>
      </c>
      <c r="C49" s="334">
        <v>0</v>
      </c>
      <c r="D49" s="334">
        <v>0</v>
      </c>
      <c r="E49" s="334">
        <v>0</v>
      </c>
      <c r="F49" s="334">
        <v>0</v>
      </c>
    </row>
    <row r="50" spans="1:6">
      <c r="A50" s="348" t="s">
        <v>32</v>
      </c>
      <c r="B50" s="348" t="s">
        <v>41</v>
      </c>
      <c r="C50" s="334">
        <v>8</v>
      </c>
      <c r="D50" s="334">
        <v>931781.84240046295</v>
      </c>
      <c r="E50" s="334">
        <v>18</v>
      </c>
      <c r="F50" s="334">
        <v>792455.73170776304</v>
      </c>
    </row>
    <row r="51" spans="1:6">
      <c r="A51" s="348" t="s">
        <v>42</v>
      </c>
      <c r="B51" s="348" t="s">
        <v>43</v>
      </c>
      <c r="C51" s="334">
        <v>0</v>
      </c>
      <c r="D51" s="334">
        <v>0</v>
      </c>
      <c r="E51" s="334">
        <v>118</v>
      </c>
      <c r="F51" s="334">
        <v>1707834.4259010099</v>
      </c>
    </row>
    <row r="52" spans="1:6">
      <c r="A52" s="348" t="s">
        <v>42</v>
      </c>
      <c r="B52" s="348" t="s">
        <v>29</v>
      </c>
      <c r="C52" s="334">
        <v>10</v>
      </c>
      <c r="D52" s="334">
        <v>1861589.2454331899</v>
      </c>
      <c r="E52" s="334">
        <v>25</v>
      </c>
      <c r="F52" s="334">
        <v>206463.11118442699</v>
      </c>
    </row>
    <row r="53" spans="1:6">
      <c r="A53" s="348" t="s">
        <v>44</v>
      </c>
      <c r="B53" s="348" t="s">
        <v>45</v>
      </c>
      <c r="C53" s="334">
        <v>239</v>
      </c>
      <c r="D53" s="334">
        <v>5505763.9422674105</v>
      </c>
      <c r="E53" s="334">
        <v>654</v>
      </c>
      <c r="F53" s="334">
        <v>2654280.27988357</v>
      </c>
    </row>
    <row r="54" spans="1:6">
      <c r="A54" s="348" t="s">
        <v>46</v>
      </c>
      <c r="B54" s="348" t="s">
        <v>47</v>
      </c>
      <c r="C54" s="334">
        <v>0</v>
      </c>
      <c r="D54" s="334">
        <v>0</v>
      </c>
      <c r="E54" s="334">
        <v>1</v>
      </c>
      <c r="F54" s="334">
        <v>2824507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4932638.4891581601</v>
      </c>
      <c r="E57" s="334">
        <v>175</v>
      </c>
      <c r="F57" s="334">
        <v>4615791.7806225102</v>
      </c>
    </row>
    <row r="58" spans="1:6">
      <c r="A58" s="348" t="s">
        <v>49</v>
      </c>
      <c r="B58" s="348" t="s">
        <v>51</v>
      </c>
      <c r="C58" s="334">
        <v>35</v>
      </c>
      <c r="D58" s="334">
        <v>4292769.74479446</v>
      </c>
      <c r="E58" s="334">
        <v>65</v>
      </c>
      <c r="F58" s="334">
        <v>1785034.1770945401</v>
      </c>
    </row>
    <row r="59" spans="1:6">
      <c r="A59" s="348" t="s">
        <v>49</v>
      </c>
      <c r="B59" s="348" t="s">
        <v>52</v>
      </c>
      <c r="C59" s="334">
        <v>192</v>
      </c>
      <c r="D59" s="334">
        <v>12381768.080620499</v>
      </c>
      <c r="E59" s="334">
        <v>482</v>
      </c>
      <c r="F59" s="334">
        <v>15550318.5284702</v>
      </c>
    </row>
    <row r="60" spans="1:6">
      <c r="A60" s="348" t="s">
        <v>49</v>
      </c>
      <c r="B60" s="348" t="s">
        <v>53</v>
      </c>
      <c r="C60" s="334">
        <v>107</v>
      </c>
      <c r="D60" s="334">
        <v>4954979.8438714901</v>
      </c>
      <c r="E60" s="334">
        <v>182</v>
      </c>
      <c r="F60" s="334">
        <v>4112170.5100886198</v>
      </c>
    </row>
    <row r="61" spans="1:6">
      <c r="A61" s="348" t="s">
        <v>49</v>
      </c>
      <c r="B61" s="348" t="s">
        <v>54</v>
      </c>
      <c r="C61" s="334">
        <v>358</v>
      </c>
      <c r="D61" s="334">
        <v>14751255.1743028</v>
      </c>
      <c r="E61" s="334">
        <v>856</v>
      </c>
      <c r="F61" s="334">
        <v>8598004.3763045408</v>
      </c>
    </row>
    <row r="62" spans="1:6">
      <c r="A62" s="348" t="s">
        <v>49</v>
      </c>
      <c r="B62" s="348" t="s">
        <v>55</v>
      </c>
      <c r="C62" s="334">
        <v>31</v>
      </c>
      <c r="D62" s="334">
        <v>3729371.40818334</v>
      </c>
      <c r="E62" s="334">
        <v>27</v>
      </c>
      <c r="F62" s="334">
        <v>615386.77992333798</v>
      </c>
    </row>
    <row r="63" spans="1:6">
      <c r="A63" s="348" t="s">
        <v>49</v>
      </c>
      <c r="B63" s="348" t="s">
        <v>29</v>
      </c>
      <c r="C63" s="334">
        <v>260</v>
      </c>
      <c r="D63" s="334">
        <v>16358975.9963094</v>
      </c>
      <c r="E63" s="334">
        <v>327</v>
      </c>
      <c r="F63" s="334">
        <v>13431407.642438</v>
      </c>
    </row>
    <row r="64" spans="1:6">
      <c r="A64" s="348" t="s">
        <v>56</v>
      </c>
      <c r="B64" s="348" t="s">
        <v>57</v>
      </c>
      <c r="C64" s="334">
        <v>0</v>
      </c>
      <c r="D64" s="334">
        <v>0</v>
      </c>
      <c r="E64" s="334">
        <v>0</v>
      </c>
      <c r="F64" s="334">
        <v>0</v>
      </c>
    </row>
    <row r="65" spans="1:6">
      <c r="A65" s="348" t="s">
        <v>56</v>
      </c>
      <c r="B65" s="348" t="s">
        <v>29</v>
      </c>
      <c r="C65" s="334">
        <v>4</v>
      </c>
      <c r="D65" s="334">
        <v>136955.34819073201</v>
      </c>
      <c r="E65" s="334">
        <v>7</v>
      </c>
      <c r="F65" s="334">
        <v>51834.454629171698</v>
      </c>
    </row>
    <row r="66" spans="1:6">
      <c r="A66" s="348" t="s">
        <v>56</v>
      </c>
      <c r="B66" s="348" t="s">
        <v>58</v>
      </c>
      <c r="C66" s="334">
        <v>0</v>
      </c>
      <c r="D66" s="334">
        <v>0</v>
      </c>
      <c r="E66" s="334">
        <v>8</v>
      </c>
      <c r="F66" s="334">
        <v>91728.770719902794</v>
      </c>
    </row>
    <row r="67" spans="1:6">
      <c r="A67" s="355" t="s">
        <v>56</v>
      </c>
      <c r="B67" s="355" t="s">
        <v>59</v>
      </c>
      <c r="C67" s="334">
        <v>0</v>
      </c>
      <c r="D67" s="334">
        <v>0</v>
      </c>
      <c r="E67" s="334">
        <v>0</v>
      </c>
      <c r="F67" s="334">
        <v>0</v>
      </c>
    </row>
    <row r="68" spans="1:6">
      <c r="A68" s="341" t="s">
        <v>56</v>
      </c>
      <c r="B68" s="341" t="s">
        <v>60</v>
      </c>
      <c r="C68" s="334">
        <v>5</v>
      </c>
      <c r="D68" s="334">
        <v>210608.56591407</v>
      </c>
      <c r="E68" s="334">
        <v>39</v>
      </c>
      <c r="F68" s="334">
        <v>700118.37270836497</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208914124</v>
      </c>
      <c r="E73" s="475">
        <v>211725382.5806514</v>
      </c>
    </row>
    <row r="74" spans="1:6">
      <c r="A74" s="348" t="s">
        <v>64</v>
      </c>
      <c r="B74" s="348" t="s">
        <v>657</v>
      </c>
      <c r="C74" s="1295" t="s">
        <v>659</v>
      </c>
      <c r="D74" s="475">
        <v>8551885</v>
      </c>
      <c r="E74" s="475">
        <v>8739630.2146463357</v>
      </c>
    </row>
    <row r="75" spans="1:6">
      <c r="A75" s="348" t="s">
        <v>65</v>
      </c>
      <c r="B75" s="348" t="s">
        <v>656</v>
      </c>
      <c r="C75" s="1295" t="s">
        <v>660</v>
      </c>
      <c r="D75" s="475">
        <v>47420100</v>
      </c>
      <c r="E75" s="475">
        <v>47977212.964174509</v>
      </c>
    </row>
    <row r="76" spans="1:6">
      <c r="A76" s="348" t="s">
        <v>65</v>
      </c>
      <c r="B76" s="348" t="s">
        <v>657</v>
      </c>
      <c r="C76" s="1295" t="s">
        <v>661</v>
      </c>
      <c r="D76" s="475">
        <v>1240364</v>
      </c>
      <c r="E76" s="475">
        <v>1251852.6743506882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723110</v>
      </c>
      <c r="C83" s="475">
        <v>726292.53348497464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9008.2796432387604</v>
      </c>
    </row>
    <row r="92" spans="1:6">
      <c r="A92" s="341" t="s">
        <v>69</v>
      </c>
      <c r="B92" s="342">
        <v>4202.5315399251931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118</v>
      </c>
      <c r="C123" s="334">
        <v>67</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338</v>
      </c>
    </row>
    <row r="130" spans="1:6">
      <c r="A130" s="348" t="s">
        <v>295</v>
      </c>
      <c r="B130" s="334">
        <v>6</v>
      </c>
    </row>
    <row r="131" spans="1:6">
      <c r="A131" s="348" t="s">
        <v>296</v>
      </c>
      <c r="B131" s="334">
        <v>2</v>
      </c>
    </row>
    <row r="132" spans="1:6">
      <c r="A132" s="341" t="s">
        <v>297</v>
      </c>
      <c r="B132" s="342">
        <v>78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184398.9438451922</v>
      </c>
      <c r="C3" s="43" t="s">
        <v>170</v>
      </c>
      <c r="D3" s="43"/>
      <c r="E3" s="154"/>
      <c r="F3" s="43"/>
      <c r="G3" s="43"/>
      <c r="H3" s="43"/>
      <c r="I3" s="43"/>
      <c r="J3" s="43"/>
      <c r="K3" s="96"/>
    </row>
    <row r="4" spans="1:11">
      <c r="A4" s="383" t="s">
        <v>171</v>
      </c>
      <c r="B4" s="49">
        <f>IF(ISERROR('SEAP template'!B78+'SEAP template'!C78),0,'SEAP template'!B78+'SEAP template'!C78)</f>
        <v>13210.811183163954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0.20516699569640537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2824.5070000000001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2824.5070000000001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0.20516699569640537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579.49561551346687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63562.15995771029</v>
      </c>
      <c r="C5" s="17">
        <f>IF(ISERROR('Eigen informatie GS &amp; warmtenet'!B57),0,'Eigen informatie GS &amp; warmtenet'!B57)</f>
        <v>0</v>
      </c>
      <c r="D5" s="30">
        <f>(SUM(HH_hh_gas_kWh,HH_rest_gas_kWh)/1000)*0.902</f>
        <v>144034.30279968417</v>
      </c>
      <c r="E5" s="17">
        <f>B46*B57</f>
        <v>15365.338554165959</v>
      </c>
      <c r="F5" s="17">
        <f>B51*B62</f>
        <v>96426.101253571731</v>
      </c>
      <c r="G5" s="18"/>
      <c r="H5" s="17"/>
      <c r="I5" s="17"/>
      <c r="J5" s="17">
        <f>B50*B61+C50*C61</f>
        <v>151.61940596043047</v>
      </c>
      <c r="K5" s="17"/>
      <c r="L5" s="17"/>
      <c r="M5" s="17"/>
      <c r="N5" s="17">
        <f>B48*B59+C48*C59</f>
        <v>41590.735806772551</v>
      </c>
      <c r="O5" s="17">
        <f>B69*B70*B71</f>
        <v>639.40333333333342</v>
      </c>
      <c r="P5" s="17">
        <f>B77*B78*B79/1000-B77*B78*B79/1000/B80</f>
        <v>3794.2666666666664</v>
      </c>
    </row>
    <row r="6" spans="1:16">
      <c r="A6" s="16" t="s">
        <v>621</v>
      </c>
      <c r="B6" s="788">
        <f>kWh_PV_kleiner_dan_10kW</f>
        <v>9008.2796432387604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72570.439600949045</v>
      </c>
      <c r="C8" s="21">
        <f>C5</f>
        <v>0</v>
      </c>
      <c r="D8" s="21">
        <f>D5</f>
        <v>144034.30279968417</v>
      </c>
      <c r="E8" s="21">
        <f>E5</f>
        <v>15365.338554165959</v>
      </c>
      <c r="F8" s="21">
        <f>F5</f>
        <v>96426.101253571731</v>
      </c>
      <c r="G8" s="21"/>
      <c r="H8" s="21"/>
      <c r="I8" s="21"/>
      <c r="J8" s="21">
        <f>J5</f>
        <v>151.61940596043047</v>
      </c>
      <c r="K8" s="21"/>
      <c r="L8" s="21">
        <f>L5</f>
        <v>0</v>
      </c>
      <c r="M8" s="21">
        <f>M5</f>
        <v>0</v>
      </c>
      <c r="N8" s="21">
        <f>N5</f>
        <v>41590.735806772551</v>
      </c>
      <c r="O8" s="21">
        <f>O5</f>
        <v>639.40333333333342</v>
      </c>
      <c r="P8" s="21">
        <f>P5</f>
        <v>3794.2666666666664</v>
      </c>
    </row>
    <row r="9" spans="1:16">
      <c r="B9" s="19"/>
      <c r="C9" s="19"/>
      <c r="D9" s="258"/>
      <c r="E9" s="19"/>
      <c r="F9" s="19"/>
      <c r="G9" s="19"/>
      <c r="H9" s="19"/>
      <c r="I9" s="19"/>
      <c r="J9" s="19"/>
      <c r="K9" s="19"/>
      <c r="L9" s="19"/>
      <c r="M9" s="19"/>
      <c r="N9" s="19"/>
      <c r="O9" s="19"/>
      <c r="P9" s="19"/>
    </row>
    <row r="10" spans="1:16">
      <c r="A10" s="24" t="s">
        <v>214</v>
      </c>
      <c r="B10" s="25">
        <f ca="1">'EF ele_warmte'!B12</f>
        <v>0.20516699569640537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14889.059069294159</v>
      </c>
      <c r="C12" s="23">
        <f ca="1">C10*C8</f>
        <v>0</v>
      </c>
      <c r="D12" s="23">
        <f>D8*D10</f>
        <v>29094.929165536203</v>
      </c>
      <c r="E12" s="23">
        <f>E10*E8</f>
        <v>3487.9318517956726</v>
      </c>
      <c r="F12" s="23">
        <f>F10*F8</f>
        <v>25745.769034703655</v>
      </c>
      <c r="G12" s="23"/>
      <c r="H12" s="23"/>
      <c r="I12" s="23"/>
      <c r="J12" s="23">
        <f>J10*J8</f>
        <v>53.673269709992383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793</v>
      </c>
      <c r="B28" s="37">
        <f>aantalHuishoudens2011</f>
        <v>17819</v>
      </c>
      <c r="C28" s="36"/>
      <c r="D28" s="228"/>
    </row>
    <row r="29" spans="1:7" s="15" customFormat="1">
      <c r="A29" s="230" t="s">
        <v>794</v>
      </c>
      <c r="B29" s="37">
        <f>SUM(HH_hh_gas_aantal,HH_rest_gas_aantal)</f>
        <v>9832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9832</v>
      </c>
      <c r="C32" s="167">
        <f>IF(ISERROR(B32/SUM($B$32,$B$34,$B$35,$B$36,$B$38,$B$39)*100),0,B32/SUM($B$32,$B$34,$B$35,$B$36,$B$38,$B$39)*100)</f>
        <v>55.800227014755954</v>
      </c>
      <c r="D32" s="233"/>
      <c r="G32" s="15"/>
    </row>
    <row r="33" spans="1:7">
      <c r="A33" s="171" t="s">
        <v>72</v>
      </c>
      <c r="B33" s="34" t="s">
        <v>111</v>
      </c>
      <c r="C33" s="167"/>
      <c r="D33" s="233"/>
      <c r="G33" s="15"/>
    </row>
    <row r="34" spans="1:7">
      <c r="A34" s="171" t="s">
        <v>73</v>
      </c>
      <c r="B34" s="33">
        <f>IF((($B$28-$B$32-$B$39-$B$77-$B$38)*C20/100)&lt;0,0,($B$28-$B$32-$B$39-$B$77-$B$38)*C20/100)</f>
        <v>725.68947818648417</v>
      </c>
      <c r="C34" s="167">
        <f>IF(ISERROR(B34/SUM($B$32,$B$34,$B$35,$B$36,$B$38,$B$39)*100),0,B34/SUM($B$32,$B$34,$B$35,$B$36,$B$38,$B$39)*100)</f>
        <v>4.1185554948154612</v>
      </c>
      <c r="D34" s="233"/>
      <c r="G34" s="15"/>
    </row>
    <row r="35" spans="1:7">
      <c r="A35" s="171" t="s">
        <v>74</v>
      </c>
      <c r="B35" s="33">
        <f>IF((($B$28-$B$32-$B$39-$B$77-$B$38)*C21/100)&lt;0,0,($B$28-$B$32-$B$39-$B$77-$B$38)*C21/100)</f>
        <v>2756.9255774165958</v>
      </c>
      <c r="C35" s="167">
        <f>IF(ISERROR(B35/SUM($B$32,$B$34,$B$35,$B$36,$B$38,$B$39)*100),0,B35/SUM($B$32,$B$34,$B$35,$B$36,$B$38,$B$39)*100)</f>
        <v>15.646569678868309</v>
      </c>
      <c r="D35" s="233"/>
      <c r="G35" s="15"/>
    </row>
    <row r="36" spans="1:7">
      <c r="A36" s="171" t="s">
        <v>75</v>
      </c>
      <c r="B36" s="33">
        <f>IF((($B$28-$B$32-$B$39-$B$77-$B$38)*C22/100)&lt;0,0,($B$28-$B$32-$B$39-$B$77-$B$38)*C22/100)</f>
        <v>576.38494439692045</v>
      </c>
      <c r="C36" s="167">
        <f>IF(ISERROR(B36/SUM($B$32,$B$34,$B$35,$B$36,$B$38,$B$39)*100),0,B36/SUM($B$32,$B$34,$B$35,$B$36,$B$38,$B$39)*100)</f>
        <v>3.2711971872696961</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2.4404086265607007E-2</v>
      </c>
      <c r="D38" s="234"/>
      <c r="G38" s="15"/>
    </row>
    <row r="39" spans="1:7">
      <c r="A39" s="171" t="s">
        <v>78</v>
      </c>
      <c r="B39" s="33">
        <f>IF((B25-(B29-B18))&lt;0,0,B25-(B29-B18)*0.9)</f>
        <v>3724.7</v>
      </c>
      <c r="C39" s="167">
        <f>IF(ISERROR(B39/SUM($B$32,$B$34,$B$35,$B$36,$B$38,$B$39)*100),0,B39/SUM($B$32,$B$34,$B$35,$B$36,$B$38,$B$39)*100)</f>
        <v>21.139046538024971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9832</v>
      </c>
      <c r="C44" s="34" t="s">
        <v>111</v>
      </c>
      <c r="D44" s="174"/>
    </row>
    <row r="45" spans="1:7">
      <c r="A45" s="171" t="s">
        <v>72</v>
      </c>
      <c r="B45" s="33" t="str">
        <f t="shared" si="0"/>
        <v>-</v>
      </c>
      <c r="C45" s="34" t="s">
        <v>111</v>
      </c>
      <c r="D45" s="174"/>
    </row>
    <row r="46" spans="1:7">
      <c r="A46" s="171" t="s">
        <v>73</v>
      </c>
      <c r="B46" s="33">
        <f t="shared" si="0"/>
        <v>725.68947818648417</v>
      </c>
      <c r="C46" s="34" t="s">
        <v>111</v>
      </c>
      <c r="D46" s="174"/>
    </row>
    <row r="47" spans="1:7">
      <c r="A47" s="171" t="s">
        <v>74</v>
      </c>
      <c r="B47" s="33">
        <f t="shared" si="0"/>
        <v>2756.9255774165958</v>
      </c>
      <c r="C47" s="34" t="s">
        <v>111</v>
      </c>
      <c r="D47" s="174"/>
    </row>
    <row r="48" spans="1:7">
      <c r="A48" s="171" t="s">
        <v>75</v>
      </c>
      <c r="B48" s="33">
        <f t="shared" si="0"/>
        <v>576.38494439692045</v>
      </c>
      <c r="C48" s="33">
        <f>B48*10</f>
        <v>5763.849443969204</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3724.7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48708.113794941761</v>
      </c>
      <c r="C5" s="17">
        <f>IF(ISERROR('Eigen informatie GS &amp; warmtenet'!B58),0,'Eigen informatie GS &amp; warmtenet'!B58)</f>
        <v>0</v>
      </c>
      <c r="D5" s="30">
        <f>SUM(D6:D12)</f>
        <v>55384.386380990618</v>
      </c>
      <c r="E5" s="17">
        <f>SUM(E6:E12)</f>
        <v>804.63741980436555</v>
      </c>
      <c r="F5" s="17">
        <f>SUM(F6:F12)</f>
        <v>8711.2413126157917</v>
      </c>
      <c r="G5" s="18"/>
      <c r="H5" s="17"/>
      <c r="I5" s="17"/>
      <c r="J5" s="17">
        <f>SUM(J6:J12)</f>
        <v>0.13271523872125515</v>
      </c>
      <c r="K5" s="17"/>
      <c r="L5" s="17"/>
      <c r="M5" s="17"/>
      <c r="N5" s="17">
        <f>SUM(N6:N12)</f>
        <v>5280.4778974689416</v>
      </c>
      <c r="O5" s="17">
        <f>B38*B39*B40</f>
        <v>9.3800000000000008</v>
      </c>
      <c r="P5" s="17">
        <f>B46*B47*B48/1000-B46*B47*B48/1000/B49</f>
        <v>38.133333333333333</v>
      </c>
      <c r="R5" s="32"/>
    </row>
    <row r="6" spans="1:18">
      <c r="A6" s="32" t="s">
        <v>54</v>
      </c>
      <c r="B6" s="37">
        <f>B26</f>
        <v>8598.0043763045414</v>
      </c>
      <c r="C6" s="33"/>
      <c r="D6" s="37">
        <f>IF(ISERROR(TER_kantoor_gas_kWh/1000),0,TER_kantoor_gas_kWh/1000)*0.902</f>
        <v>13305.632167221125</v>
      </c>
      <c r="E6" s="33">
        <f>$C$26*'E Balans VL '!I12/100/3.6*1000000</f>
        <v>5.3889431779221779E-2</v>
      </c>
      <c r="F6" s="33">
        <f>$C$26*('E Balans VL '!L12+'E Balans VL '!N12)/100/3.6*1000000</f>
        <v>1292.0398066026419</v>
      </c>
      <c r="G6" s="34"/>
      <c r="H6" s="33"/>
      <c r="I6" s="33"/>
      <c r="J6" s="33">
        <f>$C$26*('E Balans VL '!D12+'E Balans VL '!E12)/100/3.6*1000000</f>
        <v>0</v>
      </c>
      <c r="K6" s="33"/>
      <c r="L6" s="33"/>
      <c r="M6" s="33"/>
      <c r="N6" s="33">
        <f>$C$26*'E Balans VL '!Y12/100/3.6*1000000</f>
        <v>8.2227163918852977</v>
      </c>
      <c r="O6" s="33"/>
      <c r="P6" s="33"/>
      <c r="R6" s="32"/>
    </row>
    <row r="7" spans="1:18">
      <c r="A7" s="32" t="s">
        <v>53</v>
      </c>
      <c r="B7" s="37">
        <f t="shared" ref="B7:B12" si="0">B27</f>
        <v>4112.1705100886202</v>
      </c>
      <c r="C7" s="33"/>
      <c r="D7" s="37">
        <f>IF(ISERROR(TER_horeca_gas_kWh/1000),0,TER_horeca_gas_kWh/1000)*0.902</f>
        <v>4469.3918191720841</v>
      </c>
      <c r="E7" s="33">
        <f>$C$27*'E Balans VL '!I9/100/3.6*1000000</f>
        <v>58.885596747619026</v>
      </c>
      <c r="F7" s="33">
        <f>$C$27*('E Balans VL '!L9+'E Balans VL '!N9)/100/3.6*1000000</f>
        <v>520.73641118569731</v>
      </c>
      <c r="G7" s="34"/>
      <c r="H7" s="33"/>
      <c r="I7" s="33"/>
      <c r="J7" s="33">
        <f>$C$27*('E Balans VL '!D9+'E Balans VL '!E9)/100/3.6*1000000</f>
        <v>0</v>
      </c>
      <c r="K7" s="33"/>
      <c r="L7" s="33"/>
      <c r="M7" s="33"/>
      <c r="N7" s="33">
        <f>$C$27*'E Balans VL '!Y9/100/3.6*1000000</f>
        <v>1.1821583560734337</v>
      </c>
      <c r="O7" s="33"/>
      <c r="P7" s="33"/>
      <c r="R7" s="32"/>
    </row>
    <row r="8" spans="1:18">
      <c r="A8" s="6" t="s">
        <v>52</v>
      </c>
      <c r="B8" s="37">
        <f t="shared" si="0"/>
        <v>15550.318528470199</v>
      </c>
      <c r="C8" s="33"/>
      <c r="D8" s="37">
        <f>IF(ISERROR(TER_handel_gas_kWh/1000),0,TER_handel_gas_kWh/1000)*0.902</f>
        <v>11168.35480871969</v>
      </c>
      <c r="E8" s="33">
        <f>$C$28*'E Balans VL '!I13/100/3.6*1000000</f>
        <v>564.00813544824371</v>
      </c>
      <c r="F8" s="33">
        <f>$C$28*('E Balans VL '!L13+'E Balans VL '!N13)/100/3.6*1000000</f>
        <v>2995.1488055692635</v>
      </c>
      <c r="G8" s="34"/>
      <c r="H8" s="33"/>
      <c r="I8" s="33"/>
      <c r="J8" s="33">
        <f>$C$28*('E Balans VL '!D13+'E Balans VL '!E13)/100/3.6*1000000</f>
        <v>0</v>
      </c>
      <c r="K8" s="33"/>
      <c r="L8" s="33"/>
      <c r="M8" s="33"/>
      <c r="N8" s="33">
        <f>$C$28*'E Balans VL '!Y13/100/3.6*1000000</f>
        <v>21.540769130652002</v>
      </c>
      <c r="O8" s="33"/>
      <c r="P8" s="33"/>
      <c r="R8" s="32"/>
    </row>
    <row r="9" spans="1:18">
      <c r="A9" s="32" t="s">
        <v>51</v>
      </c>
      <c r="B9" s="37">
        <f t="shared" si="0"/>
        <v>1785.0341770945402</v>
      </c>
      <c r="C9" s="33"/>
      <c r="D9" s="37">
        <f>IF(ISERROR(TER_gezond_gas_kWh/1000),0,TER_gezond_gas_kWh/1000)*0.902</f>
        <v>3872.0783098046031</v>
      </c>
      <c r="E9" s="33">
        <f>$C$29*'E Balans VL '!I10/100/3.6*1000000</f>
        <v>0.11176076351465217</v>
      </c>
      <c r="F9" s="33">
        <f>$C$29*('E Balans VL '!L10+'E Balans VL '!N10)/100/3.6*1000000</f>
        <v>265.17226191886954</v>
      </c>
      <c r="G9" s="34"/>
      <c r="H9" s="33"/>
      <c r="I9" s="33"/>
      <c r="J9" s="33">
        <f>$C$29*('E Balans VL '!D10+'E Balans VL '!E10)/100/3.6*1000000</f>
        <v>0</v>
      </c>
      <c r="K9" s="33"/>
      <c r="L9" s="33"/>
      <c r="M9" s="33"/>
      <c r="N9" s="33">
        <f>$C$29*'E Balans VL '!Y10/100/3.6*1000000</f>
        <v>27.611080892373245</v>
      </c>
      <c r="O9" s="33"/>
      <c r="P9" s="33"/>
      <c r="R9" s="32"/>
    </row>
    <row r="10" spans="1:18">
      <c r="A10" s="32" t="s">
        <v>50</v>
      </c>
      <c r="B10" s="37">
        <f t="shared" si="0"/>
        <v>4615.7917806225105</v>
      </c>
      <c r="C10" s="33"/>
      <c r="D10" s="37">
        <f>IF(ISERROR(TER_ander_gas_kWh/1000),0,TER_ander_gas_kWh/1000)*0.902</f>
        <v>4449.2399172206606</v>
      </c>
      <c r="E10" s="33">
        <f>$C$30*'E Balans VL '!I14/100/3.6*1000000</f>
        <v>5.5018588619738447</v>
      </c>
      <c r="F10" s="33">
        <f>$C$30*('E Balans VL '!L14+'E Balans VL '!N14)/100/3.6*1000000</f>
        <v>1207.6963317962066</v>
      </c>
      <c r="G10" s="34"/>
      <c r="H10" s="33"/>
      <c r="I10" s="33"/>
      <c r="J10" s="33">
        <f>$C$30*('E Balans VL '!D14+'E Balans VL '!E14)/100/3.6*1000000</f>
        <v>0.10019074615312899</v>
      </c>
      <c r="K10" s="33"/>
      <c r="L10" s="33"/>
      <c r="M10" s="33"/>
      <c r="N10" s="33">
        <f>$C$30*'E Balans VL '!Y14/100/3.6*1000000</f>
        <v>3919.6174332696037</v>
      </c>
      <c r="O10" s="33"/>
      <c r="P10" s="33"/>
      <c r="R10" s="32"/>
    </row>
    <row r="11" spans="1:18">
      <c r="A11" s="32" t="s">
        <v>55</v>
      </c>
      <c r="B11" s="37">
        <f t="shared" si="0"/>
        <v>615.38677992333794</v>
      </c>
      <c r="C11" s="33"/>
      <c r="D11" s="37">
        <f>IF(ISERROR(TER_onderwijs_gas_kWh/1000),0,TER_onderwijs_gas_kWh/1000)*0.902</f>
        <v>3363.8930101813726</v>
      </c>
      <c r="E11" s="33">
        <f>$C$31*'E Balans VL '!I11/100/3.6*1000000</f>
        <v>9.2851953343836069</v>
      </c>
      <c r="F11" s="33">
        <f>$C$31*('E Balans VL '!L11+'E Balans VL '!N11)/100/3.6*1000000</f>
        <v>107.82559493884992</v>
      </c>
      <c r="G11" s="34"/>
      <c r="H11" s="33"/>
      <c r="I11" s="33"/>
      <c r="J11" s="33">
        <f>$C$31*('E Balans VL '!D11+'E Balans VL '!E11)/100/3.6*1000000</f>
        <v>0</v>
      </c>
      <c r="K11" s="33"/>
      <c r="L11" s="33"/>
      <c r="M11" s="33"/>
      <c r="N11" s="33">
        <f>$C$31*'E Balans VL '!Y11/100/3.6*1000000</f>
        <v>1.7317451821888854</v>
      </c>
      <c r="O11" s="33"/>
      <c r="P11" s="33"/>
      <c r="R11" s="32"/>
    </row>
    <row r="12" spans="1:18">
      <c r="A12" s="32" t="s">
        <v>260</v>
      </c>
      <c r="B12" s="37">
        <f t="shared" si="0"/>
        <v>13431.407642438</v>
      </c>
      <c r="C12" s="33"/>
      <c r="D12" s="37">
        <f>IF(ISERROR(TER_rest_gas_kWh/1000),0,TER_rest_gas_kWh/1000)*0.902</f>
        <v>14755.79634867108</v>
      </c>
      <c r="E12" s="33">
        <f>$C$32*'E Balans VL '!I8/100/3.6*1000000</f>
        <v>166.79098321685149</v>
      </c>
      <c r="F12" s="33">
        <f>$C$32*('E Balans VL '!L8+'E Balans VL '!N8)/100/3.6*1000000</f>
        <v>2322.6221006042638</v>
      </c>
      <c r="G12" s="34"/>
      <c r="H12" s="33"/>
      <c r="I12" s="33"/>
      <c r="J12" s="33">
        <f>$C$32*('E Balans VL '!D8+'E Balans VL '!E8)/100/3.6*1000000</f>
        <v>3.2524492568126152E-2</v>
      </c>
      <c r="K12" s="33"/>
      <c r="L12" s="33"/>
      <c r="M12" s="33"/>
      <c r="N12" s="33">
        <f>$C$32*'E Balans VL '!Y8/100/3.6*1000000</f>
        <v>1300.5719942461656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48708.113794941761</v>
      </c>
      <c r="C16" s="21">
        <f t="shared" ca="1" si="1"/>
        <v>0</v>
      </c>
      <c r="D16" s="21">
        <f t="shared" ca="1" si="1"/>
        <v>55384.386380990618</v>
      </c>
      <c r="E16" s="21">
        <f t="shared" si="1"/>
        <v>804.63741980436555</v>
      </c>
      <c r="F16" s="21">
        <f t="shared" ca="1" si="1"/>
        <v>8711.2413126157917</v>
      </c>
      <c r="G16" s="21">
        <f t="shared" si="1"/>
        <v>0</v>
      </c>
      <c r="H16" s="21">
        <f t="shared" si="1"/>
        <v>0</v>
      </c>
      <c r="I16" s="21">
        <f t="shared" si="1"/>
        <v>0</v>
      </c>
      <c r="J16" s="21">
        <f t="shared" si="1"/>
        <v>0.13271523872125515</v>
      </c>
      <c r="K16" s="21">
        <f t="shared" si="1"/>
        <v>0</v>
      </c>
      <c r="L16" s="21">
        <f t="shared" ca="1" si="1"/>
        <v>0</v>
      </c>
      <c r="M16" s="21">
        <f t="shared" si="1"/>
        <v>0</v>
      </c>
      <c r="N16" s="21">
        <f t="shared" ca="1" si="1"/>
        <v>5280.4778974689416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0.20516699569640537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9993.2973733468389</v>
      </c>
      <c r="C20" s="23">
        <f t="shared" ref="C20:P20" ca="1" si="2">C16*C18</f>
        <v>0</v>
      </c>
      <c r="D20" s="23">
        <f t="shared" ca="1" si="2"/>
        <v>11187.646048960105</v>
      </c>
      <c r="E20" s="23">
        <f t="shared" si="2"/>
        <v>182.65269429559098</v>
      </c>
      <c r="F20" s="23">
        <f t="shared" ca="1" si="2"/>
        <v>2325.9014304684165</v>
      </c>
      <c r="G20" s="23">
        <f t="shared" si="2"/>
        <v>0</v>
      </c>
      <c r="H20" s="23">
        <f t="shared" si="2"/>
        <v>0</v>
      </c>
      <c r="I20" s="23">
        <f t="shared" si="2"/>
        <v>0</v>
      </c>
      <c r="J20" s="23">
        <f t="shared" si="2"/>
        <v>4.6981194507324318E-2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8598.0043763045414</v>
      </c>
      <c r="C26" s="39">
        <f>IF(ISERROR(B26*3.6/1000000/'E Balans VL '!Z12*100),0,B26*3.6/1000000/'E Balans VL '!Z12*100)</f>
        <v>0.18174819217596211</v>
      </c>
      <c r="D26" s="237" t="s">
        <v>754</v>
      </c>
      <c r="F26" s="6"/>
    </row>
    <row r="27" spans="1:18">
      <c r="A27" s="231" t="s">
        <v>53</v>
      </c>
      <c r="B27" s="33">
        <f>IF(ISERROR(TER_horeca_ele_kWh/1000),0,TER_horeca_ele_kWh/1000)</f>
        <v>4112.1705100886202</v>
      </c>
      <c r="C27" s="39">
        <f>IF(ISERROR(B27*3.6/1000000/'E Balans VL '!Z9*100),0,B27*3.6/1000000/'E Balans VL '!Z9*100)</f>
        <v>0.3241608686260905</v>
      </c>
      <c r="D27" s="237" t="s">
        <v>754</v>
      </c>
      <c r="F27" s="6"/>
    </row>
    <row r="28" spans="1:18">
      <c r="A28" s="171" t="s">
        <v>52</v>
      </c>
      <c r="B28" s="33">
        <f>IF(ISERROR(TER_handel_ele_kWh/1000),0,TER_handel_ele_kWh/1000)</f>
        <v>15550.318528470199</v>
      </c>
      <c r="C28" s="39">
        <f>IF(ISERROR(B28*3.6/1000000/'E Balans VL '!Z13*100),0,B28*3.6/1000000/'E Balans VL '!Z13*100)</f>
        <v>0.45133307402358191</v>
      </c>
      <c r="D28" s="237" t="s">
        <v>754</v>
      </c>
      <c r="F28" s="6"/>
    </row>
    <row r="29" spans="1:18">
      <c r="A29" s="231" t="s">
        <v>51</v>
      </c>
      <c r="B29" s="33">
        <f>IF(ISERROR(TER_gezond_ele_kWh/1000),0,TER_gezond_ele_kWh/1000)</f>
        <v>1785.0341770945402</v>
      </c>
      <c r="C29" s="39">
        <f>IF(ISERROR(B29*3.6/1000000/'E Balans VL '!Z10*100),0,B29*3.6/1000000/'E Balans VL '!Z10*100)</f>
        <v>0.187993409882941</v>
      </c>
      <c r="D29" s="237" t="s">
        <v>754</v>
      </c>
      <c r="F29" s="6"/>
    </row>
    <row r="30" spans="1:18">
      <c r="A30" s="231" t="s">
        <v>50</v>
      </c>
      <c r="B30" s="33">
        <f>IF(ISERROR(TER_ander_ele_kWh/1000),0,TER_ander_ele_kWh/1000)</f>
        <v>4615.7917806225105</v>
      </c>
      <c r="C30" s="39">
        <f>IF(ISERROR(B30*3.6/1000000/'E Balans VL '!Z14*100),0,B30*3.6/1000000/'E Balans VL '!Z14*100)</f>
        <v>0.34046180428370409</v>
      </c>
      <c r="D30" s="237" t="s">
        <v>754</v>
      </c>
      <c r="F30" s="6"/>
    </row>
    <row r="31" spans="1:18">
      <c r="A31" s="231" t="s">
        <v>55</v>
      </c>
      <c r="B31" s="33">
        <f>IF(ISERROR(TER_onderwijs_ele_kWh/1000),0,TER_onderwijs_ele_kWh/1000)</f>
        <v>615.38677992333794</v>
      </c>
      <c r="C31" s="39">
        <f>IF(ISERROR(B31*3.6/1000000/'E Balans VL '!Z11*100),0,B31*3.6/1000000/'E Balans VL '!Z11*100)</f>
        <v>0.15282936386938334</v>
      </c>
      <c r="D31" s="237" t="s">
        <v>754</v>
      </c>
    </row>
    <row r="32" spans="1:18">
      <c r="A32" s="231" t="s">
        <v>260</v>
      </c>
      <c r="B32" s="33">
        <f>IF(ISERROR(TER_rest_ele_kWh/1000),0,TER_rest_ele_kWh/1000)</f>
        <v>13431.407642438</v>
      </c>
      <c r="C32" s="39">
        <f>IF(ISERROR(B32*3.6/1000000/'E Balans VL '!Z8*100),0,B32*3.6/1000000/'E Balans VL '!Z8*100)</f>
        <v>0.11052265651592143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55626.462899254824</v>
      </c>
      <c r="C5" s="17">
        <f>IF(ISERROR('Eigen informatie GS &amp; warmtenet'!B59),0,'Eigen informatie GS &amp; warmtenet'!B59)</f>
        <v>0</v>
      </c>
      <c r="D5" s="30">
        <f>SUM(D6:D15)</f>
        <v>40899.041219334758</v>
      </c>
      <c r="E5" s="17">
        <f>SUM(E6:E15)</f>
        <v>6096.4056317388086</v>
      </c>
      <c r="F5" s="17">
        <f>SUM(F6:F15)</f>
        <v>17451.63490340727</v>
      </c>
      <c r="G5" s="18"/>
      <c r="H5" s="17"/>
      <c r="I5" s="17"/>
      <c r="J5" s="17">
        <f>SUM(J6:J15)</f>
        <v>38.388261142488908</v>
      </c>
      <c r="K5" s="17"/>
      <c r="L5" s="17"/>
      <c r="M5" s="17"/>
      <c r="N5" s="17">
        <f>SUM(N6:N15)</f>
        <v>9890.5411586951705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720.43667298148205</v>
      </c>
      <c r="C8" s="33"/>
      <c r="D8" s="37">
        <f>IF( ISERROR(IND_metaal_Gas_kWH/1000),0,IND_metaal_Gas_kWH/1000)*0.902</f>
        <v>153.903793498048</v>
      </c>
      <c r="E8" s="33">
        <f>C30*'E Balans VL '!I18/100/3.6*1000000</f>
        <v>6.6237194037088409</v>
      </c>
      <c r="F8" s="33">
        <f>C30*'E Balans VL '!L18/100/3.6*1000000+C30*'E Balans VL '!N18/100/3.6*1000000</f>
        <v>67.552974160870377</v>
      </c>
      <c r="G8" s="34"/>
      <c r="H8" s="33"/>
      <c r="I8" s="33"/>
      <c r="J8" s="40">
        <f>C30*'E Balans VL '!D18/100/3.6*1000000+C30*'E Balans VL '!E18/100/3.6*1000000</f>
        <v>0</v>
      </c>
      <c r="K8" s="33"/>
      <c r="L8" s="33"/>
      <c r="M8" s="33"/>
      <c r="N8" s="33">
        <f>C30*'E Balans VL '!Y18/100/3.6*1000000</f>
        <v>10.278219711819167</v>
      </c>
      <c r="O8" s="33"/>
      <c r="P8" s="33"/>
      <c r="R8" s="32"/>
    </row>
    <row r="9" spans="1:18">
      <c r="A9" s="6" t="s">
        <v>33</v>
      </c>
      <c r="B9" s="37">
        <f t="shared" si="0"/>
        <v>18595.473811760399</v>
      </c>
      <c r="C9" s="33"/>
      <c r="D9" s="37">
        <f>IF( ISERROR(IND_andere_gas_kWh/1000),0,IND_andere_gas_kWh/1000)*0.902</f>
        <v>2338.6244009874367</v>
      </c>
      <c r="E9" s="33">
        <f>C31*'E Balans VL '!I19/100/3.6*1000000</f>
        <v>5435.8190063537077</v>
      </c>
      <c r="F9" s="33">
        <f>C31*'E Balans VL '!L19/100/3.6*1000000+C31*'E Balans VL '!N19/100/3.6*1000000</f>
        <v>14942.870755783182</v>
      </c>
      <c r="G9" s="34"/>
      <c r="H9" s="33"/>
      <c r="I9" s="33"/>
      <c r="J9" s="40">
        <f>C31*'E Balans VL '!D19/100/3.6*1000000+C31*'E Balans VL '!E19/100/3.6*1000000</f>
        <v>0</v>
      </c>
      <c r="K9" s="33"/>
      <c r="L9" s="33"/>
      <c r="M9" s="33"/>
      <c r="N9" s="33">
        <f>C31*'E Balans VL '!Y19/100/3.6*1000000</f>
        <v>6144.2329427572085</v>
      </c>
      <c r="O9" s="33"/>
      <c r="P9" s="33"/>
      <c r="R9" s="32"/>
    </row>
    <row r="10" spans="1:18">
      <c r="A10" s="6" t="s">
        <v>41</v>
      </c>
      <c r="B10" s="37">
        <f t="shared" si="0"/>
        <v>792.45573170776299</v>
      </c>
      <c r="C10" s="33"/>
      <c r="D10" s="37">
        <f>IF( ISERROR(IND_voed_gas_kWh/1000),0,IND_voed_gas_kWh/1000)*0.902</f>
        <v>840.46722184521752</v>
      </c>
      <c r="E10" s="33">
        <f>C32*'E Balans VL '!I20/100/3.6*1000000</f>
        <v>1.6764523875994204</v>
      </c>
      <c r="F10" s="33">
        <f>C32*'E Balans VL '!L20/100/3.6*1000000+C32*'E Balans VL '!N20/100/3.6*1000000</f>
        <v>50.385144891772171</v>
      </c>
      <c r="G10" s="34"/>
      <c r="H10" s="33"/>
      <c r="I10" s="33"/>
      <c r="J10" s="40">
        <f>C32*'E Balans VL '!D20/100/3.6*1000000+C32*'E Balans VL '!E20/100/3.6*1000000</f>
        <v>0</v>
      </c>
      <c r="K10" s="33"/>
      <c r="L10" s="33"/>
      <c r="M10" s="33"/>
      <c r="N10" s="33">
        <f>C32*'E Balans VL '!Y20/100/3.6*1000000</f>
        <v>54.687265632078095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251.16024390737999</v>
      </c>
      <c r="C13" s="33"/>
      <c r="D13" s="37">
        <f>IF( ISERROR(IND_papier_gas_kWh/1000),0,IND_papier_gas_kWh/1000)*0.902</f>
        <v>0</v>
      </c>
      <c r="E13" s="33">
        <f>C35*'E Balans VL '!I23/100/3.6*1000000</f>
        <v>0.35633894620269535</v>
      </c>
      <c r="F13" s="33">
        <f>C35*'E Balans VL '!L23/100/3.6*1000000+C35*'E Balans VL '!N23/100/3.6*1000000</f>
        <v>6.1317659771873787</v>
      </c>
      <c r="G13" s="34"/>
      <c r="H13" s="33"/>
      <c r="I13" s="33"/>
      <c r="J13" s="40">
        <f>C35*'E Balans VL '!D23/100/3.6*1000000+C35*'E Balans VL '!E23/100/3.6*1000000</f>
        <v>3.8844289756338829E-2</v>
      </c>
      <c r="K13" s="33"/>
      <c r="L13" s="33"/>
      <c r="M13" s="33"/>
      <c r="N13" s="33">
        <f>C35*'E Balans VL '!Y23/100/3.6*1000000</f>
        <v>730.06337532534963</v>
      </c>
      <c r="O13" s="33"/>
      <c r="P13" s="33"/>
      <c r="R13" s="32"/>
    </row>
    <row r="14" spans="1:18">
      <c r="A14" s="6" t="s">
        <v>34</v>
      </c>
      <c r="B14" s="37">
        <f t="shared" si="0"/>
        <v>24554.751927264901</v>
      </c>
      <c r="C14" s="33"/>
      <c r="D14" s="37">
        <f>IF( ISERROR(IND_chemie_gas_kWh/1000),0,IND_chemie_gas_kWh/1000)*0.902</f>
        <v>26795.845814547345</v>
      </c>
      <c r="E14" s="33">
        <f>C36*'E Balans VL '!I24/100/3.6*1000000</f>
        <v>60.446763846723492</v>
      </c>
      <c r="F14" s="33">
        <f>C36*'E Balans VL '!L24/100/3.6*1000000+C36*'E Balans VL '!N24/100/3.6*1000000</f>
        <v>262.93113199752048</v>
      </c>
      <c r="G14" s="34"/>
      <c r="H14" s="33"/>
      <c r="I14" s="33"/>
      <c r="J14" s="40">
        <f>C36*'E Balans VL '!D24/100/3.6*1000000+C36*'E Balans VL '!E24/100/3.6*1000000</f>
        <v>0</v>
      </c>
      <c r="K14" s="33"/>
      <c r="L14" s="33"/>
      <c r="M14" s="33"/>
      <c r="N14" s="33">
        <f>C36*'E Balans VL '!Y24/100/3.6*1000000</f>
        <v>548.36822451105115</v>
      </c>
      <c r="O14" s="33"/>
      <c r="P14" s="33"/>
      <c r="R14" s="32"/>
    </row>
    <row r="15" spans="1:18">
      <c r="A15" s="6" t="s">
        <v>270</v>
      </c>
      <c r="B15" s="37">
        <f t="shared" si="0"/>
        <v>10712.1845116329</v>
      </c>
      <c r="C15" s="33"/>
      <c r="D15" s="37">
        <f>IF( ISERROR(IND_rest_gas_kWh/1000),0,IND_rest_gas_kWh/1000)*0.902</f>
        <v>10770.199988456714</v>
      </c>
      <c r="E15" s="33">
        <f>C37*'E Balans VL '!I15/100/3.6*1000000</f>
        <v>591.4833508008677</v>
      </c>
      <c r="F15" s="33">
        <f>C37*'E Balans VL '!L15/100/3.6*1000000+C37*'E Balans VL '!N15/100/3.6*1000000</f>
        <v>2121.7631305967384</v>
      </c>
      <c r="G15" s="34"/>
      <c r="H15" s="33"/>
      <c r="I15" s="33"/>
      <c r="J15" s="40">
        <f>C37*'E Balans VL '!D15/100/3.6*1000000+C37*'E Balans VL '!E15/100/3.6*1000000</f>
        <v>38.349416852732567</v>
      </c>
      <c r="K15" s="33"/>
      <c r="L15" s="33"/>
      <c r="M15" s="33"/>
      <c r="N15" s="33">
        <f>C37*'E Balans VL '!Y15/100/3.6*1000000</f>
        <v>2402.9111307576636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55626.462899254824</v>
      </c>
      <c r="C18" s="21">
        <f>C5+C16</f>
        <v>0</v>
      </c>
      <c r="D18" s="21">
        <f>MAX((D5+D16),0)</f>
        <v>40899.041219334758</v>
      </c>
      <c r="E18" s="21">
        <f>MAX((E5+E16),0)</f>
        <v>6096.4056317388086</v>
      </c>
      <c r="F18" s="21">
        <f>MAX((F5+F16),0)</f>
        <v>17451.63490340727</v>
      </c>
      <c r="G18" s="21"/>
      <c r="H18" s="21"/>
      <c r="I18" s="21"/>
      <c r="J18" s="21">
        <f>MAX((J5+J16),0)</f>
        <v>38.388261142488908</v>
      </c>
      <c r="K18" s="21"/>
      <c r="L18" s="21">
        <f>MAX((L5+L16),0)</f>
        <v>0</v>
      </c>
      <c r="M18" s="21"/>
      <c r="N18" s="21">
        <f>MAX((N5+N16),0)</f>
        <v>9890.5411586951705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0.20516699569640537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11412.714274257667</v>
      </c>
      <c r="C22" s="23">
        <f ca="1">C18*C20</f>
        <v>0</v>
      </c>
      <c r="D22" s="23">
        <f>D18*D20</f>
        <v>8261.6063263056221</v>
      </c>
      <c r="E22" s="23">
        <f>E18*E20</f>
        <v>1383.8840784047095</v>
      </c>
      <c r="F22" s="23">
        <f>F18*F20</f>
        <v>4659.5865192097417</v>
      </c>
      <c r="G22" s="23"/>
      <c r="H22" s="23"/>
      <c r="I22" s="23"/>
      <c r="J22" s="23">
        <f>J18*J20</f>
        <v>13.589444444441073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720.43667298148205</v>
      </c>
      <c r="C30" s="39">
        <f>IF(ISERROR(B30*3.6/1000000/'E Balans VL '!Z18*100),0,B30*3.6/1000000/'E Balans VL '!Z18*100)</f>
        <v>4.0828993578313807E-2</v>
      </c>
      <c r="D30" s="237" t="s">
        <v>754</v>
      </c>
    </row>
    <row r="31" spans="1:18">
      <c r="A31" s="6" t="s">
        <v>33</v>
      </c>
      <c r="B31" s="37">
        <f>IF( ISERROR(IND_ander_ele_kWh/1000),0,IND_ander_ele_kWh/1000)</f>
        <v>18595.473811760399</v>
      </c>
      <c r="C31" s="39">
        <f>IF(ISERROR(B31*3.6/1000000/'E Balans VL '!Z19*100),0,B31*3.6/1000000/'E Balans VL '!Z19*100)</f>
        <v>0.84341326189614862</v>
      </c>
      <c r="D31" s="237" t="s">
        <v>754</v>
      </c>
    </row>
    <row r="32" spans="1:18">
      <c r="A32" s="171" t="s">
        <v>41</v>
      </c>
      <c r="B32" s="37">
        <f>IF( ISERROR(IND_voed_ele_kWh/1000),0,IND_voed_ele_kWh/1000)</f>
        <v>792.45573170776299</v>
      </c>
      <c r="C32" s="39">
        <f>IF(ISERROR(B32*3.6/1000000/'E Balans VL '!Z20*100),0,B32*3.6/1000000/'E Balans VL '!Z20*100)</f>
        <v>2.4514253226990995E-2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251.16024390737999</v>
      </c>
      <c r="C35" s="39">
        <f>IF(ISERROR(B35*3.6/1000000/'E Balans VL '!Z22*100),0,B35*3.6/1000000/'E Balans VL '!Z22*100)</f>
        <v>4.5175891769575559E-2</v>
      </c>
      <c r="D35" s="237" t="s">
        <v>754</v>
      </c>
    </row>
    <row r="36" spans="1:5">
      <c r="A36" s="171" t="s">
        <v>34</v>
      </c>
      <c r="B36" s="37">
        <f>IF( ISERROR(IND_chemie_ele_kWh/1000),0,IND_chemie_ele_kWh/1000)</f>
        <v>24554.751927264901</v>
      </c>
      <c r="C36" s="39">
        <f>IF(ISERROR(B36*3.6/1000000/'E Balans VL '!Z24*100),0,B36*3.6/1000000/'E Balans VL '!Z24*100)</f>
        <v>0.74877321589383738</v>
      </c>
      <c r="D36" s="237" t="s">
        <v>754</v>
      </c>
    </row>
    <row r="37" spans="1:5">
      <c r="A37" s="171" t="s">
        <v>270</v>
      </c>
      <c r="B37" s="37">
        <f>IF( ISERROR(IND_rest_ele_kWh/1000),0,IND_rest_ele_kWh/1000)</f>
        <v>10712.1845116329</v>
      </c>
      <c r="C37" s="39">
        <f>IF(ISERROR(B37*3.6/1000000/'E Balans VL '!Z15*100),0,B37*3.6/1000000/'E Balans VL '!Z15*100)</f>
        <v>8.490721806845225E-2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1914.2975370854369</v>
      </c>
      <c r="C5" s="17">
        <f>'Eigen informatie GS &amp; warmtenet'!B60</f>
        <v>0</v>
      </c>
      <c r="D5" s="30">
        <f>IF(ISERROR(SUM(LB_lb_gas_kWh,LB_rest_gas_kWh)/1000),0,SUM(LB_lb_gas_kWh,LB_rest_gas_kWh)/1000)*0.902</f>
        <v>1679.1534993807375</v>
      </c>
      <c r="E5" s="17">
        <f>B17*'E Balans VL '!I25/3.6*1000000/100</f>
        <v>56.267051554481768</v>
      </c>
      <c r="F5" s="17">
        <f>B17*('E Balans VL '!L25/3.6*1000000+'E Balans VL '!N25/3.6*1000000)/100</f>
        <v>7974.8600962885175</v>
      </c>
      <c r="G5" s="18"/>
      <c r="H5" s="17"/>
      <c r="I5" s="17"/>
      <c r="J5" s="17">
        <f>('E Balans VL '!D25+'E Balans VL '!E25)/3.6*1000000*landbouw!B17/100</f>
        <v>277.34060311348924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1914.2975370854369</v>
      </c>
      <c r="C8" s="21">
        <f>C5+C6</f>
        <v>0</v>
      </c>
      <c r="D8" s="21">
        <f>MAX((D5+D6),0)</f>
        <v>1679.1534993807375</v>
      </c>
      <c r="E8" s="21">
        <f>MAX((E5+E6),0)</f>
        <v>56.267051554481768</v>
      </c>
      <c r="F8" s="21">
        <f>MAX((F5+F6),0)</f>
        <v>7974.8600962885175</v>
      </c>
      <c r="G8" s="21"/>
      <c r="H8" s="21"/>
      <c r="I8" s="21"/>
      <c r="J8" s="21">
        <f>MAX((J5+J6),0)</f>
        <v>277.34060311348924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0.20516699569640537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392.75067455284722</v>
      </c>
      <c r="C12" s="23">
        <f ca="1">C8*C10</f>
        <v>0</v>
      </c>
      <c r="D12" s="23">
        <f>D8*D10</f>
        <v>339.18900687490901</v>
      </c>
      <c r="E12" s="23">
        <f>E8*E10</f>
        <v>12.772620702867362</v>
      </c>
      <c r="F12" s="23">
        <f>F8*F10</f>
        <v>2129.2876457090342</v>
      </c>
      <c r="G12" s="23"/>
      <c r="H12" s="23"/>
      <c r="I12" s="23"/>
      <c r="J12" s="23">
        <f>J8*J10</f>
        <v>98.178573502175183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0.27164482643778404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431.38467370009317</v>
      </c>
      <c r="C26" s="247">
        <f>B26*'GWP N2O_CH4'!B5</f>
        <v>9059.0781477019573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81.598861760381709</v>
      </c>
      <c r="C27" s="247">
        <f>B27*'GWP N2O_CH4'!B5</f>
        <v>1713.5760969680159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5.9547024266468727</v>
      </c>
      <c r="C28" s="247">
        <f>B28*'GWP N2O_CH4'!B4</f>
        <v>1845.9577522605305</v>
      </c>
      <c r="D28" s="50"/>
    </row>
    <row r="29" spans="1:4">
      <c r="A29" s="41" t="s">
        <v>277</v>
      </c>
      <c r="B29" s="247">
        <f>B34*'ha_N2O bodem landbouw'!B4</f>
        <v>22.877437629016239</v>
      </c>
      <c r="C29" s="247">
        <f>B29*'GWP N2O_CH4'!B4</f>
        <v>7092.0056649950338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5.2205524277841127E-3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3.6303383907917031E-4</v>
      </c>
      <c r="C5" s="463" t="s">
        <v>211</v>
      </c>
      <c r="D5" s="448">
        <f>SUM(D6:D11)</f>
        <v>1.2456140808764717E-3</v>
      </c>
      <c r="E5" s="448">
        <f>SUM(E6:E11)</f>
        <v>1.6655353487663104E-3</v>
      </c>
      <c r="F5" s="461" t="s">
        <v>211</v>
      </c>
      <c r="G5" s="448">
        <f>SUM(G6:G11)</f>
        <v>0.51782782101930802</v>
      </c>
      <c r="H5" s="448">
        <f>SUM(H6:H11)</f>
        <v>0.14055346741805691</v>
      </c>
      <c r="I5" s="463" t="s">
        <v>211</v>
      </c>
      <c r="J5" s="463" t="s">
        <v>211</v>
      </c>
      <c r="K5" s="463" t="s">
        <v>211</v>
      </c>
      <c r="L5" s="463" t="s">
        <v>211</v>
      </c>
      <c r="M5" s="448">
        <f>SUM(M6:M11)</f>
        <v>3.4400392246249384E-2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2.9587503100476285E-4</v>
      </c>
      <c r="C6" s="449"/>
      <c r="D6" s="892">
        <f>vkm_2011_GW_PW*SUMIFS(TableVerdeelsleutelVkm[CNG],TableVerdeelsleutelVkm[Voertuigtype],"Lichte voertuigen")*SUMIFS(TableECFTransport[EnergieConsumptieFactor (PJ per km)],TableECFTransport[Index],CONCATENATE($A6,"_CNG_CNG"))</f>
        <v>8.8745527619319743E-4</v>
      </c>
      <c r="E6" s="892">
        <f>vkm_2011_GW_PW*SUMIFS(TableVerdeelsleutelVkm[LPG],TableVerdeelsleutelVkm[Voertuigtype],"Lichte voertuigen")*SUMIFS(TableECFTransport[EnergieConsumptieFactor (PJ per km)],TableECFTransport[Index],CONCATENATE($A6,"_LPG_LPG"))</f>
        <v>1.2123913839479951E-3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0.31346883500409728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0.10093782613106442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2.1291910164180902E-2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8.0251308631378152E-2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2.4458968155966724E-5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4.6896157238707457E-3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6.7158808074407433E-5</v>
      </c>
      <c r="C8" s="449"/>
      <c r="D8" s="451">
        <f>vkm_2011_NGW_PW*SUMIFS(TableVerdeelsleutelVkm[CNG],TableVerdeelsleutelVkm[Voertuigtype],"Lichte voertuigen")*SUMIFS(TableECFTransport[EnergieConsumptieFactor (PJ per km)],TableECFTransport[Index],CONCATENATE($A8,"_CNG_CNG"))</f>
        <v>3.5815880468327435E-4</v>
      </c>
      <c r="E8" s="451">
        <f>vkm_2011_NGW_PW*SUMIFS(TableVerdeelsleutelVkm[LPG],TableVerdeelsleutelVkm[Voertuigtype],"Lichte voertuigen")*SUMIFS(TableECFTransport[EnergieConsumptieFactor (PJ per km)],TableECFTransport[Index],CONCATENATE($A8,"_LPG_LPG"))</f>
        <v>4.5314396481831534E-4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0.10918282661827659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3.9586900025060247E-2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7.5467162920835216E-3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1.492485076555602E-2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4.2822937762692277E-6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8.7215006611421006E-4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100.84273307754731</v>
      </c>
      <c r="C14" s="21"/>
      <c r="D14" s="21">
        <f t="shared" ref="D14:M14" si="0">((D5)*10^9/3600)+D12</f>
        <v>346.00391135457545</v>
      </c>
      <c r="E14" s="21">
        <f t="shared" si="0"/>
        <v>462.64870799064175</v>
      </c>
      <c r="F14" s="21"/>
      <c r="G14" s="21">
        <f t="shared" si="0"/>
        <v>143841.06139425223</v>
      </c>
      <c r="H14" s="21">
        <f t="shared" si="0"/>
        <v>39042.629838349138</v>
      </c>
      <c r="I14" s="21"/>
      <c r="J14" s="21"/>
      <c r="K14" s="21"/>
      <c r="L14" s="21"/>
      <c r="M14" s="21">
        <f t="shared" si="0"/>
        <v>9555.6645128470518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0.20516699569640537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20.689600583334904</v>
      </c>
      <c r="C18" s="23"/>
      <c r="D18" s="23">
        <f t="shared" ref="D18:M18" si="1">D14*D16</f>
        <v>69.892790093624242</v>
      </c>
      <c r="E18" s="23">
        <f t="shared" si="1"/>
        <v>105.02125671387569</v>
      </c>
      <c r="F18" s="23"/>
      <c r="G18" s="23">
        <f t="shared" si="1"/>
        <v>38405.563392265351</v>
      </c>
      <c r="H18" s="23">
        <f t="shared" si="1"/>
        <v>9721.6148297489344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9.0823750119951707E-3</v>
      </c>
      <c r="H50" s="321">
        <f t="shared" si="2"/>
        <v>0</v>
      </c>
      <c r="I50" s="321">
        <f t="shared" si="2"/>
        <v>0</v>
      </c>
      <c r="J50" s="321">
        <f t="shared" si="2"/>
        <v>0</v>
      </c>
      <c r="K50" s="321">
        <f t="shared" si="2"/>
        <v>0</v>
      </c>
      <c r="L50" s="321">
        <f t="shared" si="2"/>
        <v>0</v>
      </c>
      <c r="M50" s="321">
        <f t="shared" si="2"/>
        <v>5.1583880584308195E-4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9.0823750119951707E-3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5.1583880584308195E-4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2522.8819477764364</v>
      </c>
      <c r="H54" s="21">
        <f t="shared" si="3"/>
        <v>0</v>
      </c>
      <c r="I54" s="21">
        <f t="shared" si="3"/>
        <v>0</v>
      </c>
      <c r="J54" s="21">
        <f t="shared" si="3"/>
        <v>0</v>
      </c>
      <c r="K54" s="21">
        <f t="shared" si="3"/>
        <v>0</v>
      </c>
      <c r="L54" s="21">
        <f t="shared" si="3"/>
        <v>0</v>
      </c>
      <c r="M54" s="21">
        <f t="shared" si="3"/>
        <v>143.28855717863388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0.20516699569640537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673.6094800563086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51532.620794941759</v>
      </c>
      <c r="D10" s="1013">
        <f ca="1">tertiair!C16</f>
        <v>0</v>
      </c>
      <c r="E10" s="1013">
        <f ca="1">tertiair!D16</f>
        <v>55384.386380990618</v>
      </c>
      <c r="F10" s="1013">
        <f>tertiair!E16</f>
        <v>804.63741980436555</v>
      </c>
      <c r="G10" s="1013">
        <f ca="1">tertiair!F16</f>
        <v>8711.2413126157917</v>
      </c>
      <c r="H10" s="1013">
        <f>tertiair!G16</f>
        <v>0</v>
      </c>
      <c r="I10" s="1013">
        <f>tertiair!H16</f>
        <v>0</v>
      </c>
      <c r="J10" s="1013">
        <f>tertiair!I16</f>
        <v>0</v>
      </c>
      <c r="K10" s="1013">
        <f>tertiair!J16</f>
        <v>0.13271523872125515</v>
      </c>
      <c r="L10" s="1013">
        <f>tertiair!K16</f>
        <v>0</v>
      </c>
      <c r="M10" s="1013">
        <f ca="1">tertiair!L16</f>
        <v>0</v>
      </c>
      <c r="N10" s="1013">
        <f>tertiair!M16</f>
        <v>0</v>
      </c>
      <c r="O10" s="1013">
        <f ca="1">tertiair!N16</f>
        <v>5280.4778974689416</v>
      </c>
      <c r="P10" s="1013">
        <f>tertiair!O16</f>
        <v>9.3800000000000008</v>
      </c>
      <c r="Q10" s="1014">
        <f>tertiair!P16</f>
        <v>38.133333333333333</v>
      </c>
      <c r="R10" s="700">
        <f ca="1">SUM(C10:Q10)</f>
        <v>121761.00985439353</v>
      </c>
      <c r="S10" s="67"/>
    </row>
    <row r="11" spans="1:19" s="473" customFormat="1">
      <c r="A11" s="809" t="s">
        <v>225</v>
      </c>
      <c r="B11" s="814"/>
      <c r="C11" s="1013">
        <f>huishoudens!B8</f>
        <v>72570.439600949045</v>
      </c>
      <c r="D11" s="1013">
        <f>huishoudens!C8</f>
        <v>0</v>
      </c>
      <c r="E11" s="1013">
        <f>huishoudens!D8</f>
        <v>144034.30279968417</v>
      </c>
      <c r="F11" s="1013">
        <f>huishoudens!E8</f>
        <v>15365.338554165959</v>
      </c>
      <c r="G11" s="1013">
        <f>huishoudens!F8</f>
        <v>96426.101253571731</v>
      </c>
      <c r="H11" s="1013">
        <f>huishoudens!G8</f>
        <v>0</v>
      </c>
      <c r="I11" s="1013">
        <f>huishoudens!H8</f>
        <v>0</v>
      </c>
      <c r="J11" s="1013">
        <f>huishoudens!I8</f>
        <v>0</v>
      </c>
      <c r="K11" s="1013">
        <f>huishoudens!J8</f>
        <v>151.61940596043047</v>
      </c>
      <c r="L11" s="1013">
        <f>huishoudens!K8</f>
        <v>0</v>
      </c>
      <c r="M11" s="1013">
        <f>huishoudens!L8</f>
        <v>0</v>
      </c>
      <c r="N11" s="1013">
        <f>huishoudens!M8</f>
        <v>0</v>
      </c>
      <c r="O11" s="1013">
        <f>huishoudens!N8</f>
        <v>41590.735806772551</v>
      </c>
      <c r="P11" s="1013">
        <f>huishoudens!O8</f>
        <v>639.40333333333342</v>
      </c>
      <c r="Q11" s="1014">
        <f>huishoudens!P8</f>
        <v>3794.2666666666664</v>
      </c>
      <c r="R11" s="700">
        <f>SUM(C11:Q11)</f>
        <v>374572.2074211039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55626.462899254824</v>
      </c>
      <c r="D13" s="1013">
        <f>industrie!C18</f>
        <v>0</v>
      </c>
      <c r="E13" s="1013">
        <f>industrie!D18</f>
        <v>40899.041219334758</v>
      </c>
      <c r="F13" s="1013">
        <f>industrie!E18</f>
        <v>6096.4056317388086</v>
      </c>
      <c r="G13" s="1013">
        <f>industrie!F18</f>
        <v>17451.63490340727</v>
      </c>
      <c r="H13" s="1013">
        <f>industrie!G18</f>
        <v>0</v>
      </c>
      <c r="I13" s="1013">
        <f>industrie!H18</f>
        <v>0</v>
      </c>
      <c r="J13" s="1013">
        <f>industrie!I18</f>
        <v>0</v>
      </c>
      <c r="K13" s="1013">
        <f>industrie!J18</f>
        <v>38.388261142488908</v>
      </c>
      <c r="L13" s="1013">
        <f>industrie!K18</f>
        <v>0</v>
      </c>
      <c r="M13" s="1013">
        <f>industrie!L18</f>
        <v>0</v>
      </c>
      <c r="N13" s="1013">
        <f>industrie!M18</f>
        <v>0</v>
      </c>
      <c r="O13" s="1013">
        <f>industrie!N18</f>
        <v>9890.5411586951705</v>
      </c>
      <c r="P13" s="1013">
        <f>industrie!O18</f>
        <v>0</v>
      </c>
      <c r="Q13" s="1014">
        <f>industrie!P18</f>
        <v>0</v>
      </c>
      <c r="R13" s="700">
        <f>SUM(C13:Q13)</f>
        <v>130002.47407357331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179729.52329514563</v>
      </c>
      <c r="D16" s="732">
        <f t="shared" ref="D16:R16" ca="1" si="0">SUM(D9:D15)</f>
        <v>0</v>
      </c>
      <c r="E16" s="732">
        <f t="shared" ca="1" si="0"/>
        <v>240317.73040000955</v>
      </c>
      <c r="F16" s="732">
        <f t="shared" si="0"/>
        <v>22266.381605709132</v>
      </c>
      <c r="G16" s="732">
        <f t="shared" ca="1" si="0"/>
        <v>122588.9774695948</v>
      </c>
      <c r="H16" s="732">
        <f t="shared" si="0"/>
        <v>0</v>
      </c>
      <c r="I16" s="732">
        <f t="shared" si="0"/>
        <v>0</v>
      </c>
      <c r="J16" s="732">
        <f t="shared" si="0"/>
        <v>0</v>
      </c>
      <c r="K16" s="732">
        <f t="shared" si="0"/>
        <v>190.14038234164065</v>
      </c>
      <c r="L16" s="732">
        <f t="shared" si="0"/>
        <v>0</v>
      </c>
      <c r="M16" s="732">
        <f t="shared" ca="1" si="0"/>
        <v>0</v>
      </c>
      <c r="N16" s="732">
        <f t="shared" si="0"/>
        <v>0</v>
      </c>
      <c r="O16" s="732">
        <f t="shared" ca="1" si="0"/>
        <v>56761.754862936665</v>
      </c>
      <c r="P16" s="732">
        <f t="shared" si="0"/>
        <v>648.78333333333342</v>
      </c>
      <c r="Q16" s="732">
        <f t="shared" si="0"/>
        <v>3832.3999999999996</v>
      </c>
      <c r="R16" s="732">
        <f t="shared" ca="1" si="0"/>
        <v>626335.69134907075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2522.8819477764364</v>
      </c>
      <c r="I19" s="1013">
        <f>transport!H54</f>
        <v>0</v>
      </c>
      <c r="J19" s="1013">
        <f>transport!I54</f>
        <v>0</v>
      </c>
      <c r="K19" s="1013">
        <f>transport!J54</f>
        <v>0</v>
      </c>
      <c r="L19" s="1013">
        <f>transport!K54</f>
        <v>0</v>
      </c>
      <c r="M19" s="1013">
        <f>transport!L54</f>
        <v>0</v>
      </c>
      <c r="N19" s="1013">
        <f>transport!M54</f>
        <v>143.28855717863388</v>
      </c>
      <c r="O19" s="1013">
        <f>transport!N54</f>
        <v>0</v>
      </c>
      <c r="P19" s="1013">
        <f>transport!O54</f>
        <v>0</v>
      </c>
      <c r="Q19" s="1014">
        <f>transport!P54</f>
        <v>0</v>
      </c>
      <c r="R19" s="700">
        <f>SUM(C19:Q19)</f>
        <v>2666.1705049550701</v>
      </c>
      <c r="S19" s="67"/>
    </row>
    <row r="20" spans="1:19" s="473" customFormat="1">
      <c r="A20" s="809" t="s">
        <v>307</v>
      </c>
      <c r="B20" s="814"/>
      <c r="C20" s="1013">
        <f>transport!B14</f>
        <v>100.84273307754731</v>
      </c>
      <c r="D20" s="1013">
        <f>transport!C14</f>
        <v>0</v>
      </c>
      <c r="E20" s="1013">
        <f>transport!D14</f>
        <v>346.00391135457545</v>
      </c>
      <c r="F20" s="1013">
        <f>transport!E14</f>
        <v>462.64870799064175</v>
      </c>
      <c r="G20" s="1013">
        <f>transport!F14</f>
        <v>0</v>
      </c>
      <c r="H20" s="1013">
        <f>transport!G14</f>
        <v>143841.06139425223</v>
      </c>
      <c r="I20" s="1013">
        <f>transport!H14</f>
        <v>39042.629838349138</v>
      </c>
      <c r="J20" s="1013">
        <f>transport!I14</f>
        <v>0</v>
      </c>
      <c r="K20" s="1013">
        <f>transport!J14</f>
        <v>0</v>
      </c>
      <c r="L20" s="1013">
        <f>transport!K14</f>
        <v>0</v>
      </c>
      <c r="M20" s="1013">
        <f>transport!L14</f>
        <v>0</v>
      </c>
      <c r="N20" s="1013">
        <f>transport!M14</f>
        <v>9555.6645128470518</v>
      </c>
      <c r="O20" s="1013">
        <f>transport!N14</f>
        <v>0</v>
      </c>
      <c r="P20" s="1013">
        <f>transport!O14</f>
        <v>0</v>
      </c>
      <c r="Q20" s="1014">
        <f>transport!P14</f>
        <v>0</v>
      </c>
      <c r="R20" s="700">
        <f>SUM(C20:Q20)</f>
        <v>193348.85109787117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100.84273307754731</v>
      </c>
      <c r="D22" s="812">
        <f t="shared" ref="D22:R22" si="1">SUM(D18:D21)</f>
        <v>0</v>
      </c>
      <c r="E22" s="812">
        <f t="shared" si="1"/>
        <v>346.00391135457545</v>
      </c>
      <c r="F22" s="812">
        <f t="shared" si="1"/>
        <v>462.64870799064175</v>
      </c>
      <c r="G22" s="812">
        <f t="shared" si="1"/>
        <v>0</v>
      </c>
      <c r="H22" s="812">
        <f t="shared" si="1"/>
        <v>146363.94334202868</v>
      </c>
      <c r="I22" s="812">
        <f t="shared" si="1"/>
        <v>39042.629838349138</v>
      </c>
      <c r="J22" s="812">
        <f t="shared" si="1"/>
        <v>0</v>
      </c>
      <c r="K22" s="812">
        <f t="shared" si="1"/>
        <v>0</v>
      </c>
      <c r="L22" s="812">
        <f t="shared" si="1"/>
        <v>0</v>
      </c>
      <c r="M22" s="812">
        <f t="shared" si="1"/>
        <v>0</v>
      </c>
      <c r="N22" s="812">
        <f t="shared" si="1"/>
        <v>9698.9530700256855</v>
      </c>
      <c r="O22" s="812">
        <f t="shared" si="1"/>
        <v>0</v>
      </c>
      <c r="P22" s="812">
        <f t="shared" si="1"/>
        <v>0</v>
      </c>
      <c r="Q22" s="812">
        <f t="shared" si="1"/>
        <v>0</v>
      </c>
      <c r="R22" s="812">
        <f t="shared" si="1"/>
        <v>196015.02160282625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1914.2975370854369</v>
      </c>
      <c r="D24" s="1013">
        <f>+landbouw!C8</f>
        <v>0</v>
      </c>
      <c r="E24" s="1013">
        <f>+landbouw!D8</f>
        <v>1679.1534993807375</v>
      </c>
      <c r="F24" s="1013">
        <f>+landbouw!E8</f>
        <v>56.267051554481768</v>
      </c>
      <c r="G24" s="1013">
        <f>+landbouw!F8</f>
        <v>7974.8600962885175</v>
      </c>
      <c r="H24" s="1013">
        <f>+landbouw!G8</f>
        <v>0</v>
      </c>
      <c r="I24" s="1013">
        <f>+landbouw!H8</f>
        <v>0</v>
      </c>
      <c r="J24" s="1013">
        <f>+landbouw!I8</f>
        <v>0</v>
      </c>
      <c r="K24" s="1013">
        <f>+landbouw!J8</f>
        <v>277.34060311348924</v>
      </c>
      <c r="L24" s="1013">
        <f>+landbouw!K8</f>
        <v>0</v>
      </c>
      <c r="M24" s="1013">
        <f>+landbouw!L8</f>
        <v>0</v>
      </c>
      <c r="N24" s="1013">
        <f>+landbouw!M8</f>
        <v>0</v>
      </c>
      <c r="O24" s="1013">
        <f>+landbouw!N8</f>
        <v>0</v>
      </c>
      <c r="P24" s="1013">
        <f>+landbouw!O8</f>
        <v>0</v>
      </c>
      <c r="Q24" s="1014">
        <f>+landbouw!P8</f>
        <v>0</v>
      </c>
      <c r="R24" s="700">
        <f>SUM(C24:Q24)</f>
        <v>11901.918787422663</v>
      </c>
      <c r="S24" s="67"/>
    </row>
    <row r="25" spans="1:19" s="473" customFormat="1" ht="15" thickBot="1">
      <c r="A25" s="831" t="s">
        <v>836</v>
      </c>
      <c r="B25" s="1016"/>
      <c r="C25" s="1017">
        <f>IF(Onbekend_ele_kWh="---",0,Onbekend_ele_kWh)/1000+IF(REST_rest_ele_kWh="---",0,REST_rest_ele_kWh)/1000</f>
        <v>2654.2802798835701</v>
      </c>
      <c r="D25" s="1017"/>
      <c r="E25" s="1017">
        <f>IF(onbekend_gas_kWh="---",0,onbekend_gas_kWh)/1000+IF(REST_rest_gas_kWh="---",0,REST_rest_gas_kWh)/1000</f>
        <v>5505.7639422674101</v>
      </c>
      <c r="F25" s="1017"/>
      <c r="G25" s="1017"/>
      <c r="H25" s="1017"/>
      <c r="I25" s="1017"/>
      <c r="J25" s="1017"/>
      <c r="K25" s="1017"/>
      <c r="L25" s="1017"/>
      <c r="M25" s="1017"/>
      <c r="N25" s="1017"/>
      <c r="O25" s="1017"/>
      <c r="P25" s="1017"/>
      <c r="Q25" s="1018"/>
      <c r="R25" s="700">
        <f>SUM(C25:Q25)</f>
        <v>8160.0442221509802</v>
      </c>
      <c r="S25" s="67"/>
    </row>
    <row r="26" spans="1:19" s="473" customFormat="1" ht="15.75" thickBot="1">
      <c r="A26" s="705" t="s">
        <v>837</v>
      </c>
      <c r="B26" s="817"/>
      <c r="C26" s="812">
        <f>SUM(C24:C25)</f>
        <v>4568.5778169690075</v>
      </c>
      <c r="D26" s="812">
        <f t="shared" ref="D26:R26" si="2">SUM(D24:D25)</f>
        <v>0</v>
      </c>
      <c r="E26" s="812">
        <f t="shared" si="2"/>
        <v>7184.9174416481474</v>
      </c>
      <c r="F26" s="812">
        <f t="shared" si="2"/>
        <v>56.267051554481768</v>
      </c>
      <c r="G26" s="812">
        <f t="shared" si="2"/>
        <v>7974.8600962885175</v>
      </c>
      <c r="H26" s="812">
        <f t="shared" si="2"/>
        <v>0</v>
      </c>
      <c r="I26" s="812">
        <f t="shared" si="2"/>
        <v>0</v>
      </c>
      <c r="J26" s="812">
        <f t="shared" si="2"/>
        <v>0</v>
      </c>
      <c r="K26" s="812">
        <f t="shared" si="2"/>
        <v>277.34060311348924</v>
      </c>
      <c r="L26" s="812">
        <f t="shared" si="2"/>
        <v>0</v>
      </c>
      <c r="M26" s="812">
        <f t="shared" si="2"/>
        <v>0</v>
      </c>
      <c r="N26" s="812">
        <f t="shared" si="2"/>
        <v>0</v>
      </c>
      <c r="O26" s="812">
        <f t="shared" si="2"/>
        <v>0</v>
      </c>
      <c r="P26" s="812">
        <f t="shared" si="2"/>
        <v>0</v>
      </c>
      <c r="Q26" s="812">
        <f t="shared" si="2"/>
        <v>0</v>
      </c>
      <c r="R26" s="812">
        <f t="shared" si="2"/>
        <v>20061.963009573643</v>
      </c>
      <c r="S26" s="67"/>
    </row>
    <row r="27" spans="1:19" s="473" customFormat="1" ht="17.25" thickTop="1" thickBot="1">
      <c r="A27" s="706" t="s">
        <v>116</v>
      </c>
      <c r="B27" s="805"/>
      <c r="C27" s="707">
        <f ca="1">C22+C16+C26</f>
        <v>184398.9438451922</v>
      </c>
      <c r="D27" s="707">
        <f t="shared" ref="D27:R27" ca="1" si="3">D22+D16+D26</f>
        <v>0</v>
      </c>
      <c r="E27" s="707">
        <f t="shared" ca="1" si="3"/>
        <v>247848.65175301227</v>
      </c>
      <c r="F27" s="707">
        <f t="shared" si="3"/>
        <v>22785.297365254253</v>
      </c>
      <c r="G27" s="707">
        <f t="shared" ca="1" si="3"/>
        <v>130563.83756588332</v>
      </c>
      <c r="H27" s="707">
        <f t="shared" si="3"/>
        <v>146363.94334202868</v>
      </c>
      <c r="I27" s="707">
        <f t="shared" si="3"/>
        <v>39042.629838349138</v>
      </c>
      <c r="J27" s="707">
        <f t="shared" si="3"/>
        <v>0</v>
      </c>
      <c r="K27" s="707">
        <f t="shared" si="3"/>
        <v>467.48098545512988</v>
      </c>
      <c r="L27" s="707">
        <f t="shared" si="3"/>
        <v>0</v>
      </c>
      <c r="M27" s="707">
        <f t="shared" ca="1" si="3"/>
        <v>0</v>
      </c>
      <c r="N27" s="707">
        <f t="shared" si="3"/>
        <v>9698.9530700256855</v>
      </c>
      <c r="O27" s="707">
        <f t="shared" ca="1" si="3"/>
        <v>56761.754862936665</v>
      </c>
      <c r="P27" s="707">
        <f t="shared" si="3"/>
        <v>648.78333333333342</v>
      </c>
      <c r="Q27" s="707">
        <f t="shared" si="3"/>
        <v>3832.3999999999996</v>
      </c>
      <c r="R27" s="707">
        <f t="shared" ca="1" si="3"/>
        <v>842412.67596147058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10572.792988860307</v>
      </c>
      <c r="D40" s="1013">
        <f ca="1">tertiair!C20</f>
        <v>0</v>
      </c>
      <c r="E40" s="1013">
        <f ca="1">tertiair!D20</f>
        <v>11187.646048960105</v>
      </c>
      <c r="F40" s="1013">
        <f>tertiair!E20</f>
        <v>182.65269429559098</v>
      </c>
      <c r="G40" s="1013">
        <f ca="1">tertiair!F20</f>
        <v>2325.9014304684165</v>
      </c>
      <c r="H40" s="1013">
        <f>tertiair!G20</f>
        <v>0</v>
      </c>
      <c r="I40" s="1013">
        <f>tertiair!H20</f>
        <v>0</v>
      </c>
      <c r="J40" s="1013">
        <f>tertiair!I20</f>
        <v>0</v>
      </c>
      <c r="K40" s="1013">
        <f>tertiair!J20</f>
        <v>4.6981194507324318E-2</v>
      </c>
      <c r="L40" s="1013">
        <f>tertiair!K20</f>
        <v>0</v>
      </c>
      <c r="M40" s="1013">
        <f ca="1">tertiair!L20</f>
        <v>0</v>
      </c>
      <c r="N40" s="1013">
        <f>tertiair!M20</f>
        <v>0</v>
      </c>
      <c r="O40" s="1013">
        <f ca="1">tertiair!N20</f>
        <v>0</v>
      </c>
      <c r="P40" s="1013">
        <f>tertiair!O20</f>
        <v>0</v>
      </c>
      <c r="Q40" s="774">
        <f>tertiair!P20</f>
        <v>0</v>
      </c>
      <c r="R40" s="850">
        <f t="shared" ca="1" si="4"/>
        <v>24269.040143778926</v>
      </c>
    </row>
    <row r="41" spans="1:18">
      <c r="A41" s="822" t="s">
        <v>225</v>
      </c>
      <c r="B41" s="829"/>
      <c r="C41" s="1013">
        <f ca="1">huishoudens!B12</f>
        <v>14889.059069294159</v>
      </c>
      <c r="D41" s="1013">
        <f ca="1">huishoudens!C12</f>
        <v>0</v>
      </c>
      <c r="E41" s="1013">
        <f>huishoudens!D12</f>
        <v>29094.929165536203</v>
      </c>
      <c r="F41" s="1013">
        <f>huishoudens!E12</f>
        <v>3487.9318517956726</v>
      </c>
      <c r="G41" s="1013">
        <f>huishoudens!F12</f>
        <v>25745.769034703655</v>
      </c>
      <c r="H41" s="1013">
        <f>huishoudens!G12</f>
        <v>0</v>
      </c>
      <c r="I41" s="1013">
        <f>huishoudens!H12</f>
        <v>0</v>
      </c>
      <c r="J41" s="1013">
        <f>huishoudens!I12</f>
        <v>0</v>
      </c>
      <c r="K41" s="1013">
        <f>huishoudens!J12</f>
        <v>53.673269709992383</v>
      </c>
      <c r="L41" s="1013">
        <f>huishoudens!K12</f>
        <v>0</v>
      </c>
      <c r="M41" s="1013">
        <f>huishoudens!L12</f>
        <v>0</v>
      </c>
      <c r="N41" s="1013">
        <f>huishoudens!M12</f>
        <v>0</v>
      </c>
      <c r="O41" s="1013">
        <f>huishoudens!N12</f>
        <v>0</v>
      </c>
      <c r="P41" s="1013">
        <f>huishoudens!O12</f>
        <v>0</v>
      </c>
      <c r="Q41" s="774">
        <f>huishoudens!P12</f>
        <v>0</v>
      </c>
      <c r="R41" s="850">
        <f t="shared" ca="1" si="4"/>
        <v>73271.362391039685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11412.714274257667</v>
      </c>
      <c r="D43" s="1013">
        <f ca="1">industrie!C22</f>
        <v>0</v>
      </c>
      <c r="E43" s="1013">
        <f>industrie!D22</f>
        <v>8261.6063263056221</v>
      </c>
      <c r="F43" s="1013">
        <f>industrie!E22</f>
        <v>1383.8840784047095</v>
      </c>
      <c r="G43" s="1013">
        <f>industrie!F22</f>
        <v>4659.5865192097417</v>
      </c>
      <c r="H43" s="1013">
        <f>industrie!G22</f>
        <v>0</v>
      </c>
      <c r="I43" s="1013">
        <f>industrie!H22</f>
        <v>0</v>
      </c>
      <c r="J43" s="1013">
        <f>industrie!I22</f>
        <v>0</v>
      </c>
      <c r="K43" s="1013">
        <f>industrie!J22</f>
        <v>13.589444444441073</v>
      </c>
      <c r="L43" s="1013">
        <f>industrie!K22</f>
        <v>0</v>
      </c>
      <c r="M43" s="1013">
        <f>industrie!L22</f>
        <v>0</v>
      </c>
      <c r="N43" s="1013">
        <f>industrie!M22</f>
        <v>0</v>
      </c>
      <c r="O43" s="1013">
        <f>industrie!N22</f>
        <v>0</v>
      </c>
      <c r="P43" s="1013">
        <f>industrie!O22</f>
        <v>0</v>
      </c>
      <c r="Q43" s="774">
        <f>industrie!P22</f>
        <v>0</v>
      </c>
      <c r="R43" s="849">
        <f t="shared" ca="1" si="4"/>
        <v>25731.380642622182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36874.566332412134</v>
      </c>
      <c r="D46" s="732">
        <f t="shared" ref="D46:Q46" ca="1" si="5">SUM(D39:D45)</f>
        <v>0</v>
      </c>
      <c r="E46" s="732">
        <f t="shared" ca="1" si="5"/>
        <v>48544.181540801925</v>
      </c>
      <c r="F46" s="732">
        <f t="shared" si="5"/>
        <v>5054.468624495973</v>
      </c>
      <c r="G46" s="732">
        <f t="shared" ca="1" si="5"/>
        <v>32731.256984381813</v>
      </c>
      <c r="H46" s="732">
        <f t="shared" si="5"/>
        <v>0</v>
      </c>
      <c r="I46" s="732">
        <f t="shared" si="5"/>
        <v>0</v>
      </c>
      <c r="J46" s="732">
        <f t="shared" si="5"/>
        <v>0</v>
      </c>
      <c r="K46" s="732">
        <f t="shared" si="5"/>
        <v>67.309695348940778</v>
      </c>
      <c r="L46" s="732">
        <f t="shared" si="5"/>
        <v>0</v>
      </c>
      <c r="M46" s="732">
        <f t="shared" ca="1" si="5"/>
        <v>0</v>
      </c>
      <c r="N46" s="732">
        <f t="shared" si="5"/>
        <v>0</v>
      </c>
      <c r="O46" s="732">
        <f t="shared" ca="1" si="5"/>
        <v>0</v>
      </c>
      <c r="P46" s="732">
        <f t="shared" si="5"/>
        <v>0</v>
      </c>
      <c r="Q46" s="732">
        <f t="shared" si="5"/>
        <v>0</v>
      </c>
      <c r="R46" s="732">
        <f ca="1">SUM(R39:R45)</f>
        <v>123271.7831774408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673.6094800563086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673.6094800563086</v>
      </c>
    </row>
    <row r="50" spans="1:18">
      <c r="A50" s="825" t="s">
        <v>307</v>
      </c>
      <c r="B50" s="835"/>
      <c r="C50" s="703">
        <f ca="1">transport!B18</f>
        <v>20.689600583334904</v>
      </c>
      <c r="D50" s="703">
        <f>transport!C18</f>
        <v>0</v>
      </c>
      <c r="E50" s="703">
        <f>transport!D18</f>
        <v>69.892790093624242</v>
      </c>
      <c r="F50" s="703">
        <f>transport!E18</f>
        <v>105.02125671387569</v>
      </c>
      <c r="G50" s="703">
        <f>transport!F18</f>
        <v>0</v>
      </c>
      <c r="H50" s="703">
        <f>transport!G18</f>
        <v>38405.563392265351</v>
      </c>
      <c r="I50" s="703">
        <f>transport!H18</f>
        <v>9721.6148297489344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48322.781869405117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20.689600583334904</v>
      </c>
      <c r="D52" s="732">
        <f t="shared" ref="D52:Q52" ca="1" si="6">SUM(D48:D51)</f>
        <v>0</v>
      </c>
      <c r="E52" s="732">
        <f t="shared" si="6"/>
        <v>69.892790093624242</v>
      </c>
      <c r="F52" s="732">
        <f t="shared" si="6"/>
        <v>105.02125671387569</v>
      </c>
      <c r="G52" s="732">
        <f t="shared" si="6"/>
        <v>0</v>
      </c>
      <c r="H52" s="732">
        <f t="shared" si="6"/>
        <v>39079.172872321658</v>
      </c>
      <c r="I52" s="732">
        <f t="shared" si="6"/>
        <v>9721.6148297489344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48996.391349461424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392.75067455284722</v>
      </c>
      <c r="D54" s="703">
        <f ca="1">+landbouw!C12</f>
        <v>0</v>
      </c>
      <c r="E54" s="703">
        <f>+landbouw!D12</f>
        <v>339.18900687490901</v>
      </c>
      <c r="F54" s="703">
        <f>+landbouw!E12</f>
        <v>12.772620702867362</v>
      </c>
      <c r="G54" s="703">
        <f>+landbouw!F12</f>
        <v>2129.2876457090342</v>
      </c>
      <c r="H54" s="703">
        <f>+landbouw!G12</f>
        <v>0</v>
      </c>
      <c r="I54" s="703">
        <f>+landbouw!H12</f>
        <v>0</v>
      </c>
      <c r="J54" s="703">
        <f>+landbouw!I12</f>
        <v>0</v>
      </c>
      <c r="K54" s="703">
        <f>+landbouw!J12</f>
        <v>98.178573502175183</v>
      </c>
      <c r="L54" s="703">
        <f>+landbouw!K12</f>
        <v>0</v>
      </c>
      <c r="M54" s="703">
        <f>+landbouw!L12</f>
        <v>0</v>
      </c>
      <c r="N54" s="703">
        <f>+landbouw!M12</f>
        <v>0</v>
      </c>
      <c r="O54" s="703">
        <f>+landbouw!N12</f>
        <v>0</v>
      </c>
      <c r="P54" s="703">
        <f>+landbouw!O12</f>
        <v>0</v>
      </c>
      <c r="Q54" s="704">
        <f>+landbouw!P12</f>
        <v>0</v>
      </c>
      <c r="R54" s="731">
        <f ca="1">SUM(C54:Q54)</f>
        <v>2972.1785213418329</v>
      </c>
    </row>
    <row r="55" spans="1:18" ht="15" thickBot="1">
      <c r="A55" s="825" t="s">
        <v>836</v>
      </c>
      <c r="B55" s="835"/>
      <c r="C55" s="703">
        <f ca="1">C25*'EF ele_warmte'!B12</f>
        <v>544.5707107599261</v>
      </c>
      <c r="D55" s="703"/>
      <c r="E55" s="703">
        <f>E25*EF_CO2_aardgas</f>
        <v>1112.164316338017</v>
      </c>
      <c r="F55" s="703"/>
      <c r="G55" s="703"/>
      <c r="H55" s="703"/>
      <c r="I55" s="703"/>
      <c r="J55" s="703"/>
      <c r="K55" s="703"/>
      <c r="L55" s="703"/>
      <c r="M55" s="703"/>
      <c r="N55" s="703"/>
      <c r="O55" s="703"/>
      <c r="P55" s="703"/>
      <c r="Q55" s="704"/>
      <c r="R55" s="731">
        <f ca="1">SUM(C55:Q55)</f>
        <v>1656.7350270979432</v>
      </c>
    </row>
    <row r="56" spans="1:18" ht="15.75" thickBot="1">
      <c r="A56" s="823" t="s">
        <v>837</v>
      </c>
      <c r="B56" s="836"/>
      <c r="C56" s="732">
        <f ca="1">SUM(C54:C55)</f>
        <v>937.32138531277337</v>
      </c>
      <c r="D56" s="732">
        <f t="shared" ref="D56:Q56" ca="1" si="7">SUM(D54:D55)</f>
        <v>0</v>
      </c>
      <c r="E56" s="732">
        <f t="shared" si="7"/>
        <v>1451.3533232129259</v>
      </c>
      <c r="F56" s="732">
        <f t="shared" si="7"/>
        <v>12.772620702867362</v>
      </c>
      <c r="G56" s="732">
        <f t="shared" si="7"/>
        <v>2129.2876457090342</v>
      </c>
      <c r="H56" s="732">
        <f t="shared" si="7"/>
        <v>0</v>
      </c>
      <c r="I56" s="732">
        <f t="shared" si="7"/>
        <v>0</v>
      </c>
      <c r="J56" s="732">
        <f t="shared" si="7"/>
        <v>0</v>
      </c>
      <c r="K56" s="732">
        <f t="shared" si="7"/>
        <v>98.178573502175183</v>
      </c>
      <c r="L56" s="732">
        <f t="shared" si="7"/>
        <v>0</v>
      </c>
      <c r="M56" s="732">
        <f t="shared" si="7"/>
        <v>0</v>
      </c>
      <c r="N56" s="732">
        <f t="shared" si="7"/>
        <v>0</v>
      </c>
      <c r="O56" s="732">
        <f t="shared" si="7"/>
        <v>0</v>
      </c>
      <c r="P56" s="732">
        <f t="shared" si="7"/>
        <v>0</v>
      </c>
      <c r="Q56" s="733">
        <f t="shared" si="7"/>
        <v>0</v>
      </c>
      <c r="R56" s="734">
        <f ca="1">SUM(R54:R55)</f>
        <v>4628.9135484397757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37832.577318308242</v>
      </c>
      <c r="D61" s="740">
        <f t="shared" ref="D61:Q61" ca="1" si="8">D46+D52+D56</f>
        <v>0</v>
      </c>
      <c r="E61" s="740">
        <f t="shared" ca="1" si="8"/>
        <v>50065.427654108476</v>
      </c>
      <c r="F61" s="740">
        <f t="shared" si="8"/>
        <v>5172.2625019127163</v>
      </c>
      <c r="G61" s="740">
        <f t="shared" ca="1" si="8"/>
        <v>34860.544630090844</v>
      </c>
      <c r="H61" s="740">
        <f t="shared" si="8"/>
        <v>39079.172872321658</v>
      </c>
      <c r="I61" s="740">
        <f t="shared" si="8"/>
        <v>9721.6148297489344</v>
      </c>
      <c r="J61" s="740">
        <f t="shared" si="8"/>
        <v>0</v>
      </c>
      <c r="K61" s="740">
        <f t="shared" si="8"/>
        <v>165.48826885111595</v>
      </c>
      <c r="L61" s="740">
        <f t="shared" si="8"/>
        <v>0</v>
      </c>
      <c r="M61" s="740">
        <f t="shared" ca="1" si="8"/>
        <v>0</v>
      </c>
      <c r="N61" s="740">
        <f t="shared" si="8"/>
        <v>0</v>
      </c>
      <c r="O61" s="740">
        <f t="shared" ca="1" si="8"/>
        <v>0</v>
      </c>
      <c r="P61" s="740">
        <f t="shared" si="8"/>
        <v>0</v>
      </c>
      <c r="Q61" s="740">
        <f t="shared" si="8"/>
        <v>0</v>
      </c>
      <c r="R61" s="740">
        <f ca="1">R46+R52+R56</f>
        <v>176897.08807534198</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0.20516699569640537</v>
      </c>
      <c r="D63" s="781">
        <f t="shared" ca="1" si="9"/>
        <v>0</v>
      </c>
      <c r="E63" s="1024">
        <f t="shared" ca="1" si="9"/>
        <v>0.20199999999999999</v>
      </c>
      <c r="F63" s="781">
        <f t="shared" si="9"/>
        <v>0.22700000000000004</v>
      </c>
      <c r="G63" s="781">
        <f t="shared" ca="1" si="9"/>
        <v>0.26699999999999996</v>
      </c>
      <c r="H63" s="781">
        <f t="shared" si="9"/>
        <v>0.26700000000000002</v>
      </c>
      <c r="I63" s="781">
        <f t="shared" si="9"/>
        <v>0.24899999999999997</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13210.811183163954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13210.811183163954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13210.811183163954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13210.811183163954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72570.439600949045</v>
      </c>
      <c r="C4" s="477">
        <f>huishoudens!C8</f>
        <v>0</v>
      </c>
      <c r="D4" s="477">
        <f>huishoudens!D8</f>
        <v>144034.30279968417</v>
      </c>
      <c r="E4" s="477">
        <f>huishoudens!E8</f>
        <v>15365.338554165959</v>
      </c>
      <c r="F4" s="477">
        <f>huishoudens!F8</f>
        <v>96426.101253571731</v>
      </c>
      <c r="G4" s="477">
        <f>huishoudens!G8</f>
        <v>0</v>
      </c>
      <c r="H4" s="477">
        <f>huishoudens!H8</f>
        <v>0</v>
      </c>
      <c r="I4" s="477">
        <f>huishoudens!I8</f>
        <v>0</v>
      </c>
      <c r="J4" s="477">
        <f>huishoudens!J8</f>
        <v>151.61940596043047</v>
      </c>
      <c r="K4" s="477">
        <f>huishoudens!K8</f>
        <v>0</v>
      </c>
      <c r="L4" s="477">
        <f>huishoudens!L8</f>
        <v>0</v>
      </c>
      <c r="M4" s="477">
        <f>huishoudens!M8</f>
        <v>0</v>
      </c>
      <c r="N4" s="477">
        <f>huishoudens!N8</f>
        <v>41590.735806772551</v>
      </c>
      <c r="O4" s="477">
        <f>huishoudens!O8</f>
        <v>639.40333333333342</v>
      </c>
      <c r="P4" s="478">
        <f>huishoudens!P8</f>
        <v>3794.2666666666664</v>
      </c>
      <c r="Q4" s="479">
        <f>SUM(B4:P4)</f>
        <v>374572.2074211039</v>
      </c>
    </row>
    <row r="5" spans="1:17">
      <c r="A5" s="476" t="s">
        <v>156</v>
      </c>
      <c r="B5" s="477">
        <f ca="1">tertiair!B16</f>
        <v>48708.113794941761</v>
      </c>
      <c r="C5" s="477">
        <f ca="1">tertiair!C16</f>
        <v>0</v>
      </c>
      <c r="D5" s="477">
        <f ca="1">tertiair!D16</f>
        <v>55384.386380990618</v>
      </c>
      <c r="E5" s="477">
        <f>tertiair!E16</f>
        <v>804.63741980436555</v>
      </c>
      <c r="F5" s="477">
        <f ca="1">tertiair!F16</f>
        <v>8711.2413126157917</v>
      </c>
      <c r="G5" s="477">
        <f>tertiair!G16</f>
        <v>0</v>
      </c>
      <c r="H5" s="477">
        <f>tertiair!H16</f>
        <v>0</v>
      </c>
      <c r="I5" s="477">
        <f>tertiair!I16</f>
        <v>0</v>
      </c>
      <c r="J5" s="477">
        <f>tertiair!J16</f>
        <v>0.13271523872125515</v>
      </c>
      <c r="K5" s="477">
        <f>tertiair!K16</f>
        <v>0</v>
      </c>
      <c r="L5" s="477">
        <f ca="1">tertiair!L16</f>
        <v>0</v>
      </c>
      <c r="M5" s="477">
        <f>tertiair!M16</f>
        <v>0</v>
      </c>
      <c r="N5" s="477">
        <f ca="1">tertiair!N16</f>
        <v>5280.4778974689416</v>
      </c>
      <c r="O5" s="477">
        <f>tertiair!O16</f>
        <v>9.3800000000000008</v>
      </c>
      <c r="P5" s="478">
        <f>tertiair!P16</f>
        <v>38.133333333333333</v>
      </c>
      <c r="Q5" s="476">
        <f t="shared" ref="Q5:Q14" ca="1" si="0">SUM(B5:P5)</f>
        <v>118936.50285439353</v>
      </c>
    </row>
    <row r="6" spans="1:17">
      <c r="A6" s="476" t="s">
        <v>194</v>
      </c>
      <c r="B6" s="477">
        <f>'openbare verlichting'!B8</f>
        <v>2824.5070000000001</v>
      </c>
      <c r="C6" s="477"/>
      <c r="D6" s="477"/>
      <c r="E6" s="477"/>
      <c r="F6" s="477"/>
      <c r="G6" s="477"/>
      <c r="H6" s="477"/>
      <c r="I6" s="477"/>
      <c r="J6" s="477"/>
      <c r="K6" s="477"/>
      <c r="L6" s="477"/>
      <c r="M6" s="477"/>
      <c r="N6" s="477"/>
      <c r="O6" s="477"/>
      <c r="P6" s="478"/>
      <c r="Q6" s="476">
        <f t="shared" si="0"/>
        <v>2824.5070000000001</v>
      </c>
    </row>
    <row r="7" spans="1:17">
      <c r="A7" s="476" t="s">
        <v>112</v>
      </c>
      <c r="B7" s="477">
        <f>landbouw!B8</f>
        <v>1914.2975370854369</v>
      </c>
      <c r="C7" s="477">
        <f>landbouw!C8</f>
        <v>0</v>
      </c>
      <c r="D7" s="477">
        <f>landbouw!D8</f>
        <v>1679.1534993807375</v>
      </c>
      <c r="E7" s="477">
        <f>landbouw!E8</f>
        <v>56.267051554481768</v>
      </c>
      <c r="F7" s="477">
        <f>landbouw!F8</f>
        <v>7974.8600962885175</v>
      </c>
      <c r="G7" s="477">
        <f>landbouw!G8</f>
        <v>0</v>
      </c>
      <c r="H7" s="477">
        <f>landbouw!H8</f>
        <v>0</v>
      </c>
      <c r="I7" s="477">
        <f>landbouw!I8</f>
        <v>0</v>
      </c>
      <c r="J7" s="477">
        <f>landbouw!J8</f>
        <v>277.34060311348924</v>
      </c>
      <c r="K7" s="477">
        <f>landbouw!K8</f>
        <v>0</v>
      </c>
      <c r="L7" s="477">
        <f>landbouw!L8</f>
        <v>0</v>
      </c>
      <c r="M7" s="477">
        <f>landbouw!M8</f>
        <v>0</v>
      </c>
      <c r="N7" s="477">
        <f>landbouw!N8</f>
        <v>0</v>
      </c>
      <c r="O7" s="477">
        <f>landbouw!O8</f>
        <v>0</v>
      </c>
      <c r="P7" s="478">
        <f>landbouw!P8</f>
        <v>0</v>
      </c>
      <c r="Q7" s="476">
        <f t="shared" si="0"/>
        <v>11901.918787422663</v>
      </c>
    </row>
    <row r="8" spans="1:17">
      <c r="A8" s="476" t="s">
        <v>635</v>
      </c>
      <c r="B8" s="477">
        <f>industrie!B18</f>
        <v>55626.462899254824</v>
      </c>
      <c r="C8" s="477">
        <f>industrie!C18</f>
        <v>0</v>
      </c>
      <c r="D8" s="477">
        <f>industrie!D18</f>
        <v>40899.041219334758</v>
      </c>
      <c r="E8" s="477">
        <f>industrie!E18</f>
        <v>6096.4056317388086</v>
      </c>
      <c r="F8" s="477">
        <f>industrie!F18</f>
        <v>17451.63490340727</v>
      </c>
      <c r="G8" s="477">
        <f>industrie!G18</f>
        <v>0</v>
      </c>
      <c r="H8" s="477">
        <f>industrie!H18</f>
        <v>0</v>
      </c>
      <c r="I8" s="477">
        <f>industrie!I18</f>
        <v>0</v>
      </c>
      <c r="J8" s="477">
        <f>industrie!J18</f>
        <v>38.388261142488908</v>
      </c>
      <c r="K8" s="477">
        <f>industrie!K18</f>
        <v>0</v>
      </c>
      <c r="L8" s="477">
        <f>industrie!L18</f>
        <v>0</v>
      </c>
      <c r="M8" s="477">
        <f>industrie!M18</f>
        <v>0</v>
      </c>
      <c r="N8" s="477">
        <f>industrie!N18</f>
        <v>9890.5411586951705</v>
      </c>
      <c r="O8" s="477">
        <f>industrie!O18</f>
        <v>0</v>
      </c>
      <c r="P8" s="478">
        <f>industrie!P18</f>
        <v>0</v>
      </c>
      <c r="Q8" s="476">
        <f t="shared" si="0"/>
        <v>130002.47407357331</v>
      </c>
    </row>
    <row r="9" spans="1:17" s="482" customFormat="1">
      <c r="A9" s="480" t="s">
        <v>561</v>
      </c>
      <c r="B9" s="481">
        <f>transport!B14</f>
        <v>100.84273307754731</v>
      </c>
      <c r="C9" s="481">
        <f>transport!C14</f>
        <v>0</v>
      </c>
      <c r="D9" s="481">
        <f>transport!D14</f>
        <v>346.00391135457545</v>
      </c>
      <c r="E9" s="481">
        <f>transport!E14</f>
        <v>462.64870799064175</v>
      </c>
      <c r="F9" s="481">
        <f>transport!F14</f>
        <v>0</v>
      </c>
      <c r="G9" s="481">
        <f>transport!G14</f>
        <v>143841.06139425223</v>
      </c>
      <c r="H9" s="481">
        <f>transport!H14</f>
        <v>39042.629838349138</v>
      </c>
      <c r="I9" s="481">
        <f>transport!I14</f>
        <v>0</v>
      </c>
      <c r="J9" s="481">
        <f>transport!J14</f>
        <v>0</v>
      </c>
      <c r="K9" s="481">
        <f>transport!K14</f>
        <v>0</v>
      </c>
      <c r="L9" s="481">
        <f>transport!L14</f>
        <v>0</v>
      </c>
      <c r="M9" s="481">
        <f>transport!M14</f>
        <v>9555.6645128470518</v>
      </c>
      <c r="N9" s="481">
        <f>transport!N14</f>
        <v>0</v>
      </c>
      <c r="O9" s="481">
        <f>transport!O14</f>
        <v>0</v>
      </c>
      <c r="P9" s="481">
        <f>transport!P14</f>
        <v>0</v>
      </c>
      <c r="Q9" s="480">
        <f>SUM(B9:P9)</f>
        <v>193348.85109787117</v>
      </c>
    </row>
    <row r="10" spans="1:17">
      <c r="A10" s="476" t="s">
        <v>551</v>
      </c>
      <c r="B10" s="477">
        <f>transport!B54</f>
        <v>0</v>
      </c>
      <c r="C10" s="477">
        <f>transport!C54</f>
        <v>0</v>
      </c>
      <c r="D10" s="477">
        <f>transport!D54</f>
        <v>0</v>
      </c>
      <c r="E10" s="477">
        <f>transport!E54</f>
        <v>0</v>
      </c>
      <c r="F10" s="477">
        <f>transport!F54</f>
        <v>0</v>
      </c>
      <c r="G10" s="477">
        <f>transport!G54</f>
        <v>2522.8819477764364</v>
      </c>
      <c r="H10" s="477">
        <f>transport!H54</f>
        <v>0</v>
      </c>
      <c r="I10" s="477">
        <f>transport!I54</f>
        <v>0</v>
      </c>
      <c r="J10" s="477">
        <f>transport!J54</f>
        <v>0</v>
      </c>
      <c r="K10" s="477">
        <f>transport!K54</f>
        <v>0</v>
      </c>
      <c r="L10" s="477">
        <f>transport!L54</f>
        <v>0</v>
      </c>
      <c r="M10" s="477">
        <f>transport!M54</f>
        <v>143.28855717863388</v>
      </c>
      <c r="N10" s="477">
        <f>transport!N54</f>
        <v>0</v>
      </c>
      <c r="O10" s="477">
        <f>transport!O54</f>
        <v>0</v>
      </c>
      <c r="P10" s="478">
        <f>transport!P54</f>
        <v>0</v>
      </c>
      <c r="Q10" s="476">
        <f t="shared" si="0"/>
        <v>2666.1705049550701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2654.2802798835701</v>
      </c>
      <c r="C14" s="484"/>
      <c r="D14" s="484">
        <f>'SEAP template'!E25</f>
        <v>5505.7639422674101</v>
      </c>
      <c r="E14" s="484"/>
      <c r="F14" s="484"/>
      <c r="G14" s="484"/>
      <c r="H14" s="484"/>
      <c r="I14" s="484"/>
      <c r="J14" s="484"/>
      <c r="K14" s="484"/>
      <c r="L14" s="484"/>
      <c r="M14" s="484"/>
      <c r="N14" s="484"/>
      <c r="O14" s="484"/>
      <c r="P14" s="485"/>
      <c r="Q14" s="476">
        <f t="shared" si="0"/>
        <v>8160.0442221509802</v>
      </c>
    </row>
    <row r="15" spans="1:17" s="486" customFormat="1">
      <c r="A15" s="1039" t="s">
        <v>555</v>
      </c>
      <c r="B15" s="987">
        <f ca="1">SUM(B4:B14)</f>
        <v>184398.9438451922</v>
      </c>
      <c r="C15" s="987">
        <f t="shared" ref="C15:Q15" ca="1" si="1">SUM(C4:C14)</f>
        <v>0</v>
      </c>
      <c r="D15" s="987">
        <f t="shared" ca="1" si="1"/>
        <v>247848.65175301227</v>
      </c>
      <c r="E15" s="987">
        <f t="shared" si="1"/>
        <v>22785.297365254253</v>
      </c>
      <c r="F15" s="987">
        <f t="shared" ca="1" si="1"/>
        <v>130563.83756588332</v>
      </c>
      <c r="G15" s="987">
        <f t="shared" si="1"/>
        <v>146363.94334202868</v>
      </c>
      <c r="H15" s="987">
        <f t="shared" si="1"/>
        <v>39042.629838349138</v>
      </c>
      <c r="I15" s="987">
        <f t="shared" si="1"/>
        <v>0</v>
      </c>
      <c r="J15" s="987">
        <f t="shared" si="1"/>
        <v>467.48098545512983</v>
      </c>
      <c r="K15" s="987">
        <f t="shared" si="1"/>
        <v>0</v>
      </c>
      <c r="L15" s="987">
        <f t="shared" ca="1" si="1"/>
        <v>0</v>
      </c>
      <c r="M15" s="987">
        <f t="shared" si="1"/>
        <v>9698.9530700256855</v>
      </c>
      <c r="N15" s="987">
        <f t="shared" ca="1" si="1"/>
        <v>56761.754862936665</v>
      </c>
      <c r="O15" s="987">
        <f t="shared" si="1"/>
        <v>648.78333333333342</v>
      </c>
      <c r="P15" s="987">
        <f t="shared" si="1"/>
        <v>3832.3999999999996</v>
      </c>
      <c r="Q15" s="987">
        <f t="shared" ca="1" si="1"/>
        <v>842412.67596147058</v>
      </c>
    </row>
    <row r="17" spans="1:17">
      <c r="A17" s="487" t="s">
        <v>556</v>
      </c>
      <c r="B17" s="786">
        <f ca="1">huishoudens!B10</f>
        <v>0.20516699569640537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14889.059069294159</v>
      </c>
      <c r="C22" s="477">
        <f t="shared" ref="C22:C32" ca="1" si="3">C4*$C$17</f>
        <v>0</v>
      </c>
      <c r="D22" s="477">
        <f t="shared" ref="D22:D32" si="4">D4*$D$17</f>
        <v>29094.929165536203</v>
      </c>
      <c r="E22" s="477">
        <f t="shared" ref="E22:E32" si="5">E4*$E$17</f>
        <v>3487.9318517956726</v>
      </c>
      <c r="F22" s="477">
        <f t="shared" ref="F22:F32" si="6">F4*$F$17</f>
        <v>25745.769034703655</v>
      </c>
      <c r="G22" s="477">
        <f t="shared" ref="G22:G32" si="7">G4*$G$17</f>
        <v>0</v>
      </c>
      <c r="H22" s="477">
        <f t="shared" ref="H22:H32" si="8">H4*$H$17</f>
        <v>0</v>
      </c>
      <c r="I22" s="477">
        <f t="shared" ref="I22:I32" si="9">I4*$I$17</f>
        <v>0</v>
      </c>
      <c r="J22" s="477">
        <f t="shared" ref="J22:J32" si="10">J4*$J$17</f>
        <v>53.673269709992383</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73271.362391039685</v>
      </c>
    </row>
    <row r="23" spans="1:17">
      <c r="A23" s="476" t="s">
        <v>156</v>
      </c>
      <c r="B23" s="477">
        <f t="shared" ca="1" si="2"/>
        <v>9993.2973733468389</v>
      </c>
      <c r="C23" s="477">
        <f t="shared" ca="1" si="3"/>
        <v>0</v>
      </c>
      <c r="D23" s="477">
        <f t="shared" ca="1" si="4"/>
        <v>11187.646048960105</v>
      </c>
      <c r="E23" s="477">
        <f t="shared" si="5"/>
        <v>182.65269429559098</v>
      </c>
      <c r="F23" s="477">
        <f t="shared" ca="1" si="6"/>
        <v>2325.9014304684165</v>
      </c>
      <c r="G23" s="477">
        <f t="shared" si="7"/>
        <v>0</v>
      </c>
      <c r="H23" s="477">
        <f t="shared" si="8"/>
        <v>0</v>
      </c>
      <c r="I23" s="477">
        <f t="shared" si="9"/>
        <v>0</v>
      </c>
      <c r="J23" s="477">
        <f t="shared" si="10"/>
        <v>4.6981194507324318E-2</v>
      </c>
      <c r="K23" s="477">
        <f t="shared" si="11"/>
        <v>0</v>
      </c>
      <c r="L23" s="477">
        <f t="shared" ca="1" si="12"/>
        <v>0</v>
      </c>
      <c r="M23" s="477">
        <f t="shared" si="13"/>
        <v>0</v>
      </c>
      <c r="N23" s="477">
        <f t="shared" ca="1" si="14"/>
        <v>0</v>
      </c>
      <c r="O23" s="477">
        <f t="shared" si="15"/>
        <v>0</v>
      </c>
      <c r="P23" s="478">
        <f t="shared" si="16"/>
        <v>0</v>
      </c>
      <c r="Q23" s="476">
        <f t="shared" ref="Q23:Q32" ca="1" si="17">SUM(B23:P23)</f>
        <v>23689.544528265458</v>
      </c>
    </row>
    <row r="24" spans="1:17">
      <c r="A24" s="476" t="s">
        <v>194</v>
      </c>
      <c r="B24" s="477">
        <f t="shared" ca="1" si="2"/>
        <v>579.49561551346687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579.49561551346687</v>
      </c>
    </row>
    <row r="25" spans="1:17">
      <c r="A25" s="476" t="s">
        <v>112</v>
      </c>
      <c r="B25" s="477">
        <f t="shared" ca="1" si="2"/>
        <v>392.75067455284722</v>
      </c>
      <c r="C25" s="477">
        <f t="shared" ca="1" si="3"/>
        <v>0</v>
      </c>
      <c r="D25" s="477">
        <f t="shared" si="4"/>
        <v>339.18900687490901</v>
      </c>
      <c r="E25" s="477">
        <f t="shared" si="5"/>
        <v>12.772620702867362</v>
      </c>
      <c r="F25" s="477">
        <f t="shared" si="6"/>
        <v>2129.2876457090342</v>
      </c>
      <c r="G25" s="477">
        <f t="shared" si="7"/>
        <v>0</v>
      </c>
      <c r="H25" s="477">
        <f t="shared" si="8"/>
        <v>0</v>
      </c>
      <c r="I25" s="477">
        <f t="shared" si="9"/>
        <v>0</v>
      </c>
      <c r="J25" s="477">
        <f t="shared" si="10"/>
        <v>98.178573502175183</v>
      </c>
      <c r="K25" s="477">
        <f t="shared" si="11"/>
        <v>0</v>
      </c>
      <c r="L25" s="477">
        <f t="shared" si="12"/>
        <v>0</v>
      </c>
      <c r="M25" s="477">
        <f t="shared" si="13"/>
        <v>0</v>
      </c>
      <c r="N25" s="477">
        <f t="shared" si="14"/>
        <v>0</v>
      </c>
      <c r="O25" s="477">
        <f t="shared" si="15"/>
        <v>0</v>
      </c>
      <c r="P25" s="478">
        <f t="shared" si="16"/>
        <v>0</v>
      </c>
      <c r="Q25" s="476">
        <f t="shared" ca="1" si="17"/>
        <v>2972.1785213418329</v>
      </c>
    </row>
    <row r="26" spans="1:17">
      <c r="A26" s="476" t="s">
        <v>635</v>
      </c>
      <c r="B26" s="477">
        <f t="shared" ca="1" si="2"/>
        <v>11412.714274257667</v>
      </c>
      <c r="C26" s="477">
        <f t="shared" ca="1" si="3"/>
        <v>0</v>
      </c>
      <c r="D26" s="477">
        <f t="shared" si="4"/>
        <v>8261.6063263056221</v>
      </c>
      <c r="E26" s="477">
        <f t="shared" si="5"/>
        <v>1383.8840784047095</v>
      </c>
      <c r="F26" s="477">
        <f t="shared" si="6"/>
        <v>4659.5865192097417</v>
      </c>
      <c r="G26" s="477">
        <f t="shared" si="7"/>
        <v>0</v>
      </c>
      <c r="H26" s="477">
        <f t="shared" si="8"/>
        <v>0</v>
      </c>
      <c r="I26" s="477">
        <f t="shared" si="9"/>
        <v>0</v>
      </c>
      <c r="J26" s="477">
        <f t="shared" si="10"/>
        <v>13.589444444441073</v>
      </c>
      <c r="K26" s="477">
        <f t="shared" si="11"/>
        <v>0</v>
      </c>
      <c r="L26" s="477">
        <f t="shared" si="12"/>
        <v>0</v>
      </c>
      <c r="M26" s="477">
        <f t="shared" si="13"/>
        <v>0</v>
      </c>
      <c r="N26" s="477">
        <f t="shared" si="14"/>
        <v>0</v>
      </c>
      <c r="O26" s="477">
        <f t="shared" si="15"/>
        <v>0</v>
      </c>
      <c r="P26" s="478">
        <f t="shared" si="16"/>
        <v>0</v>
      </c>
      <c r="Q26" s="476">
        <f t="shared" ca="1" si="17"/>
        <v>25731.380642622182</v>
      </c>
    </row>
    <row r="27" spans="1:17" s="482" customFormat="1">
      <c r="A27" s="480" t="s">
        <v>561</v>
      </c>
      <c r="B27" s="780">
        <f t="shared" ca="1" si="2"/>
        <v>20.689600583334904</v>
      </c>
      <c r="C27" s="481">
        <f t="shared" ca="1" si="3"/>
        <v>0</v>
      </c>
      <c r="D27" s="481">
        <f t="shared" si="4"/>
        <v>69.892790093624242</v>
      </c>
      <c r="E27" s="481">
        <f t="shared" si="5"/>
        <v>105.02125671387569</v>
      </c>
      <c r="F27" s="481">
        <f t="shared" si="6"/>
        <v>0</v>
      </c>
      <c r="G27" s="481">
        <f t="shared" si="7"/>
        <v>38405.563392265351</v>
      </c>
      <c r="H27" s="481">
        <f t="shared" si="8"/>
        <v>9721.6148297489344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48322.781869405117</v>
      </c>
    </row>
    <row r="28" spans="1:17">
      <c r="A28" s="476" t="s">
        <v>551</v>
      </c>
      <c r="B28" s="477">
        <f t="shared" ca="1" si="2"/>
        <v>0</v>
      </c>
      <c r="C28" s="477">
        <f t="shared" ca="1" si="3"/>
        <v>0</v>
      </c>
      <c r="D28" s="477">
        <f t="shared" si="4"/>
        <v>0</v>
      </c>
      <c r="E28" s="477">
        <f t="shared" si="5"/>
        <v>0</v>
      </c>
      <c r="F28" s="477">
        <f t="shared" si="6"/>
        <v>0</v>
      </c>
      <c r="G28" s="477">
        <f t="shared" si="7"/>
        <v>673.6094800563086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673.6094800563086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544.5707107599261</v>
      </c>
      <c r="C32" s="477">
        <f t="shared" ca="1" si="3"/>
        <v>0</v>
      </c>
      <c r="D32" s="477">
        <f t="shared" si="4"/>
        <v>1112.164316338017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1656.7350270979432</v>
      </c>
    </row>
    <row r="33" spans="1:17" s="486" customFormat="1">
      <c r="A33" s="1039" t="s">
        <v>555</v>
      </c>
      <c r="B33" s="987">
        <f ca="1">SUM(B22:B32)</f>
        <v>37832.577318308235</v>
      </c>
      <c r="C33" s="987">
        <f t="shared" ref="C33:Q33" ca="1" si="18">SUM(C22:C32)</f>
        <v>0</v>
      </c>
      <c r="D33" s="987">
        <f t="shared" ca="1" si="18"/>
        <v>50065.427654108476</v>
      </c>
      <c r="E33" s="987">
        <f t="shared" si="18"/>
        <v>5172.2625019127163</v>
      </c>
      <c r="F33" s="987">
        <f t="shared" ca="1" si="18"/>
        <v>34860.544630090852</v>
      </c>
      <c r="G33" s="987">
        <f t="shared" si="18"/>
        <v>39079.172872321658</v>
      </c>
      <c r="H33" s="987">
        <f t="shared" si="18"/>
        <v>9721.6148297489344</v>
      </c>
      <c r="I33" s="987">
        <f t="shared" si="18"/>
        <v>0</v>
      </c>
      <c r="J33" s="987">
        <f t="shared" si="18"/>
        <v>165.48826885111598</v>
      </c>
      <c r="K33" s="987">
        <f t="shared" si="18"/>
        <v>0</v>
      </c>
      <c r="L33" s="987">
        <f t="shared" ca="1" si="18"/>
        <v>0</v>
      </c>
      <c r="M33" s="987">
        <f t="shared" si="18"/>
        <v>0</v>
      </c>
      <c r="N33" s="987">
        <f t="shared" ca="1" si="18"/>
        <v>0</v>
      </c>
      <c r="O33" s="987">
        <f t="shared" si="18"/>
        <v>0</v>
      </c>
      <c r="P33" s="987">
        <f t="shared" si="18"/>
        <v>0</v>
      </c>
      <c r="Q33" s="987">
        <f t="shared" ca="1" si="18"/>
        <v>176897.08807534201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13210.811183163954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13210.811183163954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0.20516699569640537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0.20516699569640537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2019-08-12T08:31:33Z</dcterms:modified>
</cp:coreProperties>
</file>