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H20"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Q14" s="1"/>
  <c r="H26" i="14"/>
  <c r="M22"/>
  <c r="D5" i="17"/>
  <c r="K18" i="61" l="1"/>
  <c r="K20" s="1"/>
  <c r="K90" i="14"/>
  <c r="L78"/>
  <c r="L8" i="61"/>
  <c r="L10" s="1"/>
  <c r="E18"/>
  <c r="E20" s="1"/>
  <c r="K78" i="14"/>
  <c r="K8" i="61"/>
  <c r="K10" s="1"/>
  <c r="L90" i="14"/>
  <c r="L18" i="61"/>
  <c r="L20" s="1"/>
  <c r="I77" i="14"/>
  <c r="I9" i="61" s="1"/>
  <c r="O9" i="18"/>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E90" i="14"/>
  <c r="F101" i="18"/>
  <c r="O78" i="14"/>
  <c r="D10" i="61"/>
  <c r="H101" i="18"/>
  <c r="J8" s="1"/>
  <c r="D101"/>
  <c r="Q89" i="14"/>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I17" i="18"/>
  <c r="I10"/>
  <c r="I76" i="14"/>
  <c r="I8" i="61" s="1"/>
  <c r="I10" s="1"/>
  <c r="Q88" i="14"/>
  <c r="P18" i="61" s="1"/>
  <c r="AC15" i="5"/>
  <c r="M90" i="14" l="1"/>
  <c r="M17" i="61"/>
  <c r="M20" s="1"/>
  <c r="M78" i="14"/>
  <c r="M8" i="61"/>
  <c r="M10" s="1"/>
  <c r="F90" i="14"/>
  <c r="F17" i="61"/>
  <c r="F20" s="1"/>
  <c r="O8" i="18"/>
  <c r="O10" s="1"/>
  <c r="F76" i="14"/>
  <c r="I78"/>
  <c r="D78"/>
  <c r="J87"/>
  <c r="J20" i="18"/>
  <c r="I87" i="14"/>
  <c r="I17" i="61" s="1"/>
  <c r="I20" s="1"/>
  <c r="I20" i="18"/>
  <c r="O17"/>
  <c r="O20" s="1"/>
  <c r="Q87" i="14"/>
  <c r="D90"/>
  <c r="J10" i="18"/>
  <c r="J76" i="14"/>
  <c r="D5" i="13"/>
  <c r="F78" i="14" l="1"/>
  <c r="F8" i="61"/>
  <c r="F10" s="1"/>
  <c r="Q90" i="14"/>
  <c r="B17" i="6" s="1"/>
  <c r="P17" i="61"/>
  <c r="P20" s="1"/>
  <c r="J78" i="14"/>
  <c r="J8" i="61"/>
  <c r="J10" s="1"/>
  <c r="J90" i="14"/>
  <c r="J17" i="61"/>
  <c r="J20" s="1"/>
  <c r="Q76" i="14"/>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8"/>
  <c r="J27"/>
  <c r="Q11" i="14"/>
  <c r="P4" i="48"/>
  <c r="P11" i="14"/>
  <c r="O4" i="48"/>
  <c r="I29"/>
  <c r="I28"/>
  <c r="I30"/>
  <c r="I22"/>
  <c r="I32"/>
  <c r="I26"/>
  <c r="I25"/>
  <c r="I27"/>
  <c r="I31"/>
  <c r="I24"/>
  <c r="D4"/>
  <c r="D22" s="1"/>
  <c r="E11" i="14"/>
  <c r="H29" i="48"/>
  <c r="H32"/>
  <c r="H25"/>
  <c r="H30"/>
  <c r="H24"/>
  <c r="H22"/>
  <c r="H28"/>
  <c r="H26"/>
  <c r="H23"/>
  <c r="C4"/>
  <c r="D11" i="14"/>
  <c r="G23" i="48"/>
  <c r="G30"/>
  <c r="G32"/>
  <c r="G26"/>
  <c r="G22"/>
  <c r="G29"/>
  <c r="G25"/>
  <c r="G24"/>
  <c r="C11" i="14"/>
  <c r="B4" i="48"/>
  <c r="F30"/>
  <c r="F32"/>
  <c r="F24"/>
  <c r="F31"/>
  <c r="F29"/>
  <c r="F28"/>
  <c r="F27"/>
  <c r="N30"/>
  <c r="N32"/>
  <c r="N24"/>
  <c r="N27"/>
  <c r="N31"/>
  <c r="N28"/>
  <c r="N29"/>
  <c r="C19" i="14"/>
  <c r="B10" i="48"/>
  <c r="E31"/>
  <c r="E29"/>
  <c r="E24"/>
  <c r="E30"/>
  <c r="E28"/>
  <c r="E32"/>
  <c r="M29"/>
  <c r="M26"/>
  <c r="M24"/>
  <c r="M30"/>
  <c r="M32"/>
  <c r="M25"/>
  <c r="M22"/>
  <c r="M23"/>
  <c r="K5"/>
  <c r="L10" i="14"/>
  <c r="L16" s="1"/>
  <c r="L27" s="1"/>
  <c r="D30" i="48"/>
  <c r="D28"/>
  <c r="D32"/>
  <c r="D24"/>
  <c r="D29"/>
  <c r="D31"/>
  <c r="L29"/>
  <c r="L27"/>
  <c r="L32"/>
  <c r="L28"/>
  <c r="L24"/>
  <c r="L22"/>
  <c r="L31"/>
  <c r="L30"/>
  <c r="Q10" i="14"/>
  <c r="P5" i="48"/>
  <c r="P23" s="1"/>
  <c r="K32"/>
  <c r="K24"/>
  <c r="K27"/>
  <c r="K31"/>
  <c r="K26"/>
  <c r="K22"/>
  <c r="K29"/>
  <c r="K25"/>
  <c r="K30"/>
  <c r="K28"/>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P22" i="48"/>
  <c r="P33" s="1"/>
  <c r="P15"/>
  <c r="G13"/>
  <c r="G31" s="1"/>
  <c r="H18" i="14"/>
  <c r="K23" i="48"/>
  <c r="K15"/>
  <c r="C22" i="14"/>
  <c r="O22" i="48"/>
  <c r="E9"/>
  <c r="E27" s="1"/>
  <c r="F20" i="14"/>
  <c r="F22" s="1"/>
  <c r="Q13"/>
  <c r="Q16" s="1"/>
  <c r="Q27" s="1"/>
  <c r="P8" i="48"/>
  <c r="P26" s="1"/>
  <c r="D9"/>
  <c r="D27" s="1"/>
  <c r="E20" i="14"/>
  <c r="E22" s="1"/>
  <c r="P10"/>
  <c r="O5" i="48"/>
  <c r="O23" s="1"/>
  <c r="K33"/>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F24" i="14"/>
  <c r="F26" s="1"/>
  <c r="E7" i="48"/>
  <c r="E25" s="1"/>
  <c r="E4"/>
  <c r="F11" i="14"/>
  <c r="O8" i="48"/>
  <c r="P13" i="14"/>
  <c r="P16" s="1"/>
  <c r="P27" s="1"/>
  <c r="K11"/>
  <c r="J4" i="48"/>
  <c r="N4"/>
  <c r="N22" s="1"/>
  <c r="O11" i="14"/>
  <c r="M10" i="48"/>
  <c r="M28" s="1"/>
  <c r="N19" i="14"/>
  <c r="N22" s="1"/>
  <c r="N27" s="1"/>
  <c r="I15" i="48"/>
  <c r="I23"/>
  <c r="I33" s="1"/>
  <c r="P46" i="14"/>
  <c r="P61" s="1"/>
  <c r="Q63"/>
  <c r="E12" i="17"/>
  <c r="F54" i="14" s="1"/>
  <c r="F56" s="1"/>
  <c r="M14" i="22"/>
  <c r="H14"/>
  <c r="H9" i="48" s="1"/>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R20" s="1"/>
  <c r="R22" s="1"/>
  <c r="J22" i="48"/>
  <c r="G28"/>
  <c r="Q10"/>
  <c r="J5"/>
  <c r="J23" s="1"/>
  <c r="K10" i="14"/>
  <c r="F10"/>
  <c r="E5" i="48"/>
  <c r="E23" s="1"/>
  <c r="E22"/>
  <c r="Q4"/>
  <c r="O26"/>
  <c r="O33" s="1"/>
  <c r="O15"/>
  <c r="I20" i="14"/>
  <c r="I22" s="1"/>
  <c r="I27" s="1"/>
  <c r="P63"/>
  <c r="R11"/>
  <c r="M15" i="48"/>
  <c r="M27"/>
  <c r="M33" s="1"/>
  <c r="Q9"/>
  <c r="H15"/>
  <c r="H27"/>
  <c r="H33" s="1"/>
  <c r="N63" i="14"/>
  <c r="R24"/>
  <c r="R26" s="1"/>
  <c r="N18" i="16"/>
  <c r="E20" i="15"/>
  <c r="F40" i="14" s="1"/>
  <c r="F18" i="16"/>
  <c r="J18"/>
  <c r="E18"/>
  <c r="G18" i="22"/>
  <c r="H50" i="14" s="1"/>
  <c r="H18" i="22"/>
  <c r="I50" i="14" s="1"/>
  <c r="I52" s="1"/>
  <c r="I61" s="1"/>
  <c r="J8" i="48" l="1"/>
  <c r="J26" s="1"/>
  <c r="J33" s="1"/>
  <c r="K13" i="14"/>
  <c r="F13"/>
  <c r="E8" i="48"/>
  <c r="E26" s="1"/>
  <c r="E33" s="1"/>
  <c r="G27"/>
  <c r="G33" s="1"/>
  <c r="G15"/>
  <c r="K16" i="14"/>
  <c r="K27" s="1"/>
  <c r="K63" s="1"/>
  <c r="F16"/>
  <c r="F27" s="1"/>
  <c r="I63"/>
  <c r="E15" i="48"/>
  <c r="N8"/>
  <c r="N26" s="1"/>
  <c r="O13" i="14"/>
  <c r="F8" i="48"/>
  <c r="G13" i="14"/>
  <c r="E22" i="16"/>
  <c r="F43" i="14" s="1"/>
  <c r="F46" s="1"/>
  <c r="F61" s="1"/>
  <c r="F22" i="16"/>
  <c r="G43" i="14" s="1"/>
  <c r="N22" i="16"/>
  <c r="O43" i="14" s="1"/>
  <c r="J22" i="16"/>
  <c r="K43" i="14" s="1"/>
  <c r="K46" s="1"/>
  <c r="K61" s="1"/>
  <c r="F63" l="1"/>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<sst xmlns="http://schemas.openxmlformats.org/spreadsheetml/2006/main" count="2481" uniqueCount="923">
  <si>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</si>
  <si>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</si>
  <si>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</si>
  <si>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</si>
  <si>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</si>
  <si>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</si>
  <si>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</si>
  <si>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</si>
  <si>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</si>
  <si>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</si>
  <si>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</si>
  <si>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</si>
  <si>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</si>
  <si>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</si>
  <si>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</si>
  <si>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</si>
  <si>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</si>
  <si>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</si>
  <si>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</si>
  <si>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</si>
  <si>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</si>
  <si>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</si>
  <si>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</si>
  <si>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</si>
  <si>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</si>
  <si>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</si>
  <si>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</si>
  <si>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</si>
  <si>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</si>
  <si>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</si>
  <si>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</si>
  <si>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</si>
  <si>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</si>
  <si>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</si>
  <si>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</si>
  <si>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</si>
  <si>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</si>
  <si>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</si>
  <si>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</si>
  <si>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</si>
  <si>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</si>
  <si>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</si>
  <si>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</si>
  <si>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</si>
  <si>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</si>
  <si>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</si>
  <si>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</si>
  <si>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</si>
  <si>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</si>
  <si>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</si>
  <si>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</si>
  <si>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</si>
  <si>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</si>
  <si>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</si>
  <si>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</si>
  <si>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</si>
  <si>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</si>
  <si>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</si>
  <si>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</si>
  <si>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</si>
  <si>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</si>
  <si>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</si>
  <si>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</si>
  <si>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</si>
  <si>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</si>
  <si>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</si>
  <si>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</si>
  <si>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</si>
  <si>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</si>
  <si>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</si>
  <si>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</si>
  <si>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</si>
  <si>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</si>
  <si>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</si>
  <si>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</si>
  <si>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</si>
  <si>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</si>
  <si>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</si>
  <si>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</si>
  <si>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</si>
  <si>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</si>
  <si>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</si>
  <si>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</si>
  <si>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</si>
  <si>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</si>
  <si>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</si>
  <si>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</si>
  <si>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</si>
  <si>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</si>
  <si>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</si>
  <si>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</si>
  <si>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</si>
  <si>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</si>
  <si>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</si>
  <si>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</si>
  <si>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</si>
  <si>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</si>
  <si>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</si>
  <si>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</si>
  <si>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</si>
  <si>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</si>
  <si>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</si>
  <si>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</si>
  <si>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</si>
  <si>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</si>
  <si>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</si>
  <si>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</si>
  <si>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</si>
  <si>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</si>
  <si>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</si>
  <si>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</si>
  <si>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</si>
  <si>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</si>
  <si>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</si>
  <si>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</si>
  <si>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</si>
  <si>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</si>
  <si>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</si>
  <si>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</si>
  <si>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</si>
  <si>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</si>
  <si>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</si>
  <si>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</si>
  <si>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</si>
  <si>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</si>
  <si>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</si>
  <si>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</si>
  <si>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</si>
  <si>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</si>
  <si>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</si>
  <si>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</si>
  <si>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</si>
  <si>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</si>
  <si>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</si>
  <si>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</si>
  <si>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</si>
  <si>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</si>
  <si>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</si>
  <si>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</si>
  <si>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</si>
  <si>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</si>
  <si>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</si>
  <si>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</si>
  <si>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</si>
  <si>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</si>
  <si>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</si>
  <si>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</si>
  <si>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</si>
  <si>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</si>
  <si>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</si>
  <si>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</si>
  <si>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</si>
  <si>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</si>
  <si>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</si>
  <si>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</si>
  <si>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</si>
  <si>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</si>
  <si>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</si>
  <si>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</si>
  <si>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</si>
  <si>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</si>
  <si>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</si>
  <si>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</si>
  <si>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</si>
  <si>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</si>
  <si>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</si>
  <si>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</si>
  <si>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</si>
  <si>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</si>
  <si>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</si>
  <si>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</si>
  <si>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</si>
  <si>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</si>
  <si>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</si>
  <si>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</si>
  <si>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</si>
  <si>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</si>
  <si>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</si>
  <si>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</si>
  <si>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</si>
  <si>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</si>
  <si>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</si>
  <si>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</si>
  <si>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</si>
  <si>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</si>
  <si>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</si>
  <si>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</si>
  <si>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</si>
  <si>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</si>
  <si>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</si>
  <si>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</si>
  <si>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</si>
  <si>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</si>
  <si>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</si>
  <si>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</si>
  <si>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</si>
  <si>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</si>
  <si>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</si>
  <si>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</si>
  <si>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</si>
  <si>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</si>
  <si>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</si>
  <si>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</si>
  <si>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</si>
  <si>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</si>
  <si>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</si>
  <si>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</si>
  <si>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</si>
  <si>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</si>
  <si>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</si>
  <si>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</si>
  <si>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</si>
  <si>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</si>
  <si>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</si>
  <si>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</si>
  <si>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</si>
  <si>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</si>
  <si>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</si>
  <si>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</si>
  <si>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</si>
  <si>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</si>
  <si>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</si>
  <si>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</si>
  <si>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</si>
  <si>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</si>
  <si>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</si>
  <si>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</si>
  <si>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</si>
  <si>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</si>
  <si>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</si>
  <si>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</si>
  <si>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</si>
  <si>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</si>
  <si>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</si>
  <si>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</si>
  <si>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</si>
  <si>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</si>
  <si>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</si>
  <si>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</si>
  <si>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</si>
  <si>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</si>
  <si>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</si>
  <si>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</si>
  <si>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</si>
  <si>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</si>
  <si>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</si>
  <si>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</si>
  <si>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</si>
  <si>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</si>
  <si>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</si>
  <si>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</si>
  <si>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</si>
  <si>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</si>
  <si>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</si>
  <si>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</si>
  <si>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</si>
  <si>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</si>
  <si>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</si>
  <si>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</si>
  <si>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</si>
  <si>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</si>
  <si>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</si>
  <si>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</si>
  <si>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</si>
  <si>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</si>
  <si>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</si>
  <si>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</si>
  <si>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</si>
  <si>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</si>
  <si>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</si>
  <si>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</si>
  <si>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</si>
  <si>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</si>
  <si>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</si>
  <si>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</si>
  <si>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</si>
  <si>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</si>
  <si>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</si>
  <si>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</si>
  <si>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</si>
  <si>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</si>
  <si>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</si>
  <si>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</si>
  <si>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</si>
  <si>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</si>
  <si>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</si>
  <si>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</si>
  <si>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</si>
  <si>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</si>
  <si>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</si>
  <si>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</si>
  <si>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</si>
  <si>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</si>
  <si>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</si>
  <si>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</si>
  <si>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</si>
  <si>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</si>
  <si>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</si>
  <si>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</si>
  <si>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</si>
  <si>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</si>
  <si>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</si>
  <si>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</si>
  <si>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</si>
  <si>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</si>
  <si>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</si>
  <si>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</si>
  <si>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</si>
  <si>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</si>
  <si>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</si>
  <si>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</si>
  <si>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</si>
  <si>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</si>
  <si>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</si>
  <si>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</si>
  <si>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</si>
  <si>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</si>
  <si>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</si>
  <si>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</si>
  <si>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</si>
  <si>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</si>
  <si>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</si>
  <si>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</si>
  <si>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</si>
  <si>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</si>
  <si>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</si>
  <si>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</si>
  <si>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</si>
  <si>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</si>
  <si>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</si>
  <si>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</si>
  <si>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</si>
  <si>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</si>
  <si>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</si>
  <si>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</si>
  <si>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</si>
  <si>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</si>
  <si>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</si>
  <si>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</si>
  <si>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</si>
  <si>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</si>
  <si>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</si>
  <si>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</si>
  <si>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</si>
  <si>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</si>
  <si>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</si>
  <si>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</si>
  <si>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</si>
  <si>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</si>
  <si>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</si>
  <si>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</si>
  <si>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</si>
  <si>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</si>
  <si>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</si>
  <si>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</si>
  <si>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</si>
  <si>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</si>
  <si>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</si>
  <si>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</si>
  <si>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</si>
  <si>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</si>
  <si>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</si>
  <si>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</si>
  <si>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</si>
  <si>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</si>
  <si>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</si>
  <si>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</si>
  <si>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</si>
  <si>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</si>
  <si>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</si>
  <si>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</si>
  <si>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</si>
  <si>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</si>
  <si>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</si>
  <si>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</si>
  <si>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</si>
  <si>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</si>
  <si>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</si>
  <si>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</si>
  <si>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</si>
  <si>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</si>
  <si>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</si>
  <si>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</si>
  <si>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</si>
  <si>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</si>
  <si>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</si>
  <si>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</si>
  <si>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</si>
  <si>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</si>
  <si>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</si>
  <si>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</si>
  <si>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</si>
  <si>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</si>
  <si>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</si>
  <si>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</si>
  <si>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</si>
  <si>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</si>
  <si>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</si>
  <si>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</si>
  <si>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</si>
  <si>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</si>
  <si>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</si>
  <si>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</si>
  <si>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</si>
  <si>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</si>
  <si>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</si>
  <si>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</si>
  <si>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</si>
  <si>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</si>
  <si>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</si>
  <si>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</si>
  <si>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</si>
  <si>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</si>
  <si>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</si>
  <si>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</si>
  <si>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</si>
  <si>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</si>
  <si>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</si>
  <si>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</si>
  <si>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</si>
  <si>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</si>
  <si>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</si>
  <si>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</si>
  <si>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</si>
  <si>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</si>
  <si>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</si>
  <si>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</si>
  <si>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</si>
  <si>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</si>
  <si>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</si>
  <si>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</si>
  <si>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</si>
  <si>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</si>
  <si>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</si>
  <si>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</si>
  <si>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</si>
  <si>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</si>
  <si>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</si>
  <si>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</si>
  <si>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</si>
  <si>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</si>
  <si>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</si>
  <si>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</si>
  <si>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</si>
  <si>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</si>
  <si>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</si>
  <si>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</si>
  <si>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</si>
  <si>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</si>
  <si>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</si>
  <si>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</si>
  <si>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</si>
  <si>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</si>
  <si>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</si>
  <si>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</si>
  <si>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</si>
  <si>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</si>
  <si>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</si>
  <si>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</si>
  <si>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</si>
  <si>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</si>
  <si>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</si>
  <si>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</si>
  <si>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</si>
  <si>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</si>
  <si>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</si>
  <si>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</si>
  <si>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</si>
  <si>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</si>
  <si>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</si>
  <si>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</si>
  <si>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</si>
  <si>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</si>
  <si>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</si>
  <si>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</si>
  <si>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</si>
  <si>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</si>
  <si>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</si>
  <si>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</si>
  <si>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</si>
  <si>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</si>
  <si>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</si>
  <si>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</si>
  <si>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</si>
  <si>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</si>
  <si>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</si>
  <si>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</si>
  <si>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</si>
  <si>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</si>
  <si>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</si>
  <si>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</si>
  <si>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</si>
  <si>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</si>
  <si>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</si>
  <si>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</si>
  <si>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</si>
  <si>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</si>
  <si>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</si>
  <si>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</si>
  <si>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</si>
  <si>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</si>
  <si>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</si>
  <si>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</si>
  <si>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</si>
  <si>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</si>
  <si>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</si>
  <si>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</si>
  <si>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</si>
  <si>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</si>
  <si>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</si>
  <si>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</si>
  <si>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</si>
  <si>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</si>
  <si>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</si>
  <si>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</si>
  <si>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</si>
  <si>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</si>
  <si>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</si>
  <si>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</si>
  <si>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</si>
  <si>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</si>
  <si>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</si>
  <si>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</si>
  <si>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</si>
  <si>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</si>
  <si>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</si>
  <si>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</si>
  <si>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</si>
  <si>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</si>
  <si>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</si>
  <si>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</si>
  <si>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</si>
  <si>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</si>
  <si>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</si>
  <si>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</si>
  <si>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</si>
  <si>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</si>
  <si>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</si>
  <si>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</si>
  <si>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</si>
  <si>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</si>
  <si>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</si>
  <si>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</si>
  <si>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</si>
  <si>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</si>
  <si>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</si>
  <si>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</si>
  <si>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</si>
  <si>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</si>
  <si>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</si>
  <si>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</si>
  <si>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</si>
  <si>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</si>
  <si>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</si>
  <si>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</si>
  <si>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</si>
  <si>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</si>
  <si>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</si>
  <si>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</si>
  <si>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</si>
  <si>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</si>
  <si>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</si>
  <si>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</si>
  <si>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</si>
  <si>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</si>
  <si>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</si>
  <si>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</si>
  <si>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</si>
  <si>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</si>
  <si>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</si>
  <si>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</si>
  <si>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</si>
  <si>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</si>
  <si>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</si>
  <si>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</si>
  <si>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</si>
  <si>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</si>
  <si>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</si>
  <si>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</si>
  <si>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</si>
  <si>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</si>
  <si>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</si>
  <si>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</si>
  <si>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</si>
  <si>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</si>
  <si>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</si>
  <si>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</si>
  <si>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</si>
  <si>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</si>
  <si>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</si>
  <si>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</si>
  <si>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</si>
  <si>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</si>
  <si>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</si>
  <si>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</si>
  <si>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</si>
  <si>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</si>
  <si>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</si>
  <si>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</si>
  <si>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</si>
  <si>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</si>
  <si>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</si>
  <si>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</si>
  <si>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</si>
  <si>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</si>
  <si>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</si>
  <si>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</si>
  <si>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</si>
  <si>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</si>
  <si>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</si>
  <si>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</si>
  <si>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</si>
  <si>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</si>
  <si>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</si>
  <si>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</si>
  <si>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</si>
  <si>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</si>
  <si>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</si>
  <si>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</si>
  <si>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</si>
  <si>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</si>
  <si>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</si>
  <si>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</si>
  <si>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</si>
  <si>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</si>
  <si>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</si>
  <si>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</si>
  <si>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</si>
  <si>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</si>
  <si>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</si>
  <si>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</si>
  <si>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</si>
  <si>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</si>
  <si>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</si>
  <si>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</si>
  <si>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</si>
  <si>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</si>
  <si>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</si>
  <si>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</si>
  <si>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</si>
  <si>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</si>
  <si>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</si>
  <si>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</si>
  <si>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</si>
  <si>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</si>
  <si>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</si>
  <si>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</si>
  <si>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</si>
  <si>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</si>
  <si>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</si>
  <si>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</si>
  <si>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</si>
  <si>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</si>
  <si>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</si>
  <si>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</si>
  <si>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</si>
  <si>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</si>
  <si>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</si>
  <si>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</si>
  <si>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</si>
  <si>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</si>
  <si>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</si>
  <si>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</si>
  <si>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</si>
  <si>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</si>
  <si>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</si>
  <si>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</si>
  <si>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</si>
  <si>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</si>
  <si>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</si>
  <si>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</si>
  <si>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</si>
  <si>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</si>
  <si>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</si>
  <si>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</si>
  <si>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</si>
  <si>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</si>
  <si>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</si>
  <si>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</si>
  <si>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</si>
  <si>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</si>
  <si>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</si>
  <si>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</si>
  <si>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</si>
  <si>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</si>
  <si>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</si>
  <si>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</si>
  <si>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</si>
  <si>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</si>
  <si>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</si>
  <si>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</si>
  <si>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</si>
  <si>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</si>
  <si>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</si>
  <si>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</si>
  <si>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</si>
  <si>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</si>
  <si>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</si>
  <si>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</si>
  <si>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</si>
  <si>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</si>
  <si>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</si>
  <si>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</si>
  <si>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</si>
  <si>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</si>
  <si>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</si>
  <si>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</si>
  <si>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</si>
  <si>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</si>
  <si>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</si>
  <si>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</si>
  <si>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</si>
  <si>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</si>
  <si>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</si>
  <si>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</si>
  <si>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</si>
  <si>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</si>
  <si>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</si>
  <si>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</si>
  <si>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</si>
  <si>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</si>
  <si>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</si>
  <si>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</si>
  <si>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</si>
  <si>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</si>
  <si>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</si>
  <si>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</si>
  <si>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</si>
  <si>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</si>
  <si>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</si>
  <si>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</si>
  <si>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</si>
  <si>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</si>
  <si>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</si>
  <si>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</si>
  <si>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</si>
  <si>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</si>
  <si>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</si>
  <si>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</si>
  <si>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</si>
  <si>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</si>
  <si>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</si>
  <si>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</si>
  <si>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</si>
  <si>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</si>
  <si>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</si>
  <si>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</si>
  <si>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</si>
  <si>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</si>
  <si>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</si>
  <si>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</si>
  <si>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</si>
  <si>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</si>
  <si>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</si>
  <si>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</si>
  <si>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</si>
  <si>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</si>
  <si>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</si>
  <si>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</si>
  <si>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</si>
  <si>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</si>
  <si>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</si>
  <si>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</si>
  <si>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</si>
  <si>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</si>
  <si>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</si>
  <si>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</si>
  <si>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</si>
  <si>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</si>
  <si>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</si>
  <si>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</si>
  <si>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</si>
  <si>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</si>
  <si>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</si>
  <si>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</si>
  <si>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</si>
  <si>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</si>
  <si>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</si>
  <si>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</si>
  <si>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</si>
  <si>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</si>
  <si>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</si>
  <si>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</si>
  <si>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</si>
  <si>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</si>
  <si>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</si>
  <si>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</si>
  <si>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</si>
  <si>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</si>
  <si>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</si>
  <si>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</si>
  <si>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</si>
  <si>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</si>
  <si>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</si>
  <si>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</si>
  <si>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</si>
  <si>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</si>
  <si>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</si>
  <si>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</si>
  <si>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</si>
  <si>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</si>
  <si>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</si>
  <si>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</si>
  <si>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</si>
  <si>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</si>
  <si>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</si>
  <si>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</si>
  <si>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</si>
  <si>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</si>
  <si>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</si>
  <si>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</si>
  <si>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</si>
  <si>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</si>
  <si>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</si>
  <si>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</si>
  <si>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</si>
  <si>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</si>
  <si>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</si>
  <si>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</si>
  <si>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</si>
  <si>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</si>
  <si>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</si>
  <si>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</si>
  <si>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</si>
  <si>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</si>
  <si>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</si>
  <si>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</si>
  <si>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</si>
  <si>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</si>
  <si>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</si>
  <si>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</si>
  <si>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</si>
  <si>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</si>
  <si>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</si>
  <si>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</si>
  <si>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</si>
  <si>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</si>
  <si>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</si>
  <si>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</si>
  <si>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</si>
  <si>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</si>
  <si>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</si>
  <si>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</si>
  <si>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</si>
  <si>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</si>
  <si>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</si>
  <si>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</si>
  <si>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</si>
  <si>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</si>
  <si>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</si>
  <si>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</si>
  <si>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</si>
  <si>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</si>
  <si>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</si>
  <si>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</si>
  <si>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</si>
  <si>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</si>
  <si>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</si>
  <si>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</si>
  <si>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</si>
  <si>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</si>
  <si>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</si>
  <si>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</si>
  <si>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</si>
  <si>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</si>
  <si>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</si>
  <si>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</si>
  <si>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</si>
  <si>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</si>
  <si>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</si>
  <si>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</si>
  <si>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</si>
  <si>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</si>
  <si>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12009</t>
  </si>
  <si>
    <t>DUFFEL</t>
  </si>
  <si>
    <t>Eandis (januari 2018); Infrax (juni 2018)</t>
  </si>
  <si>
    <t>MOW (september 2017)</t>
  </si>
  <si>
    <t>referentietaak LNE (2017); Jaarverslag De Lijn (2016)</t>
  </si>
  <si>
    <t>VEA (april 2018)</t>
  </si>
  <si>
    <t>VEA (januari 2017)</t>
  </si>
  <si>
    <t>VEA (juni 2018)</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</si>
  <si>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</si>
  <si>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</si>
  <si>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</si>
  <si>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</si>
  <si>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</si>
  <si>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</si>
  <si>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</si>
  <si>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</si>
  <si>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</si>
  <si>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</si>
  <si>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</si>
  <si>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</si>
  <si>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</si>
  <si>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</si>
  <si>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</si>
  <si>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</si>
  <si>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</si>
  <si>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</si>
  <si>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</si>
  <si>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</si>
  <si>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</si>
  <si>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</si>
  <si>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</si>
  <si>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</si>
  <si>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</si>
  <si>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</si>
  <si>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</si>
  <si>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</si>
  <si>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</si>
  <si>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</si>
  <si>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</si>
  <si>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</si>
  <si>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</si>
  <si>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</si>
  <si>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</si>
  <si>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</si>
  <si>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</si>
  <si>
    <t>Van Hissenhoven II</t>
  </si>
  <si>
    <t>WKK-0740</t>
  </si>
  <si>
    <t>Interne verbrandingsmotor</t>
  </si>
  <si>
    <t>Roetestraat 18, 2570 Duffel, BE</t>
  </si>
  <si>
    <t>IMEA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</si>
</sst>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120853.8970629361</c:v>
                </c:pt>
                <c:pt idx="1">
                  <c:v>95528.97606960425</c:v>
                </c:pt>
                <c:pt idx="2">
                  <c:v>1291.999</c:v>
                </c:pt>
                <c:pt idx="3">
                  <c:v>223214.96531537894</c:v>
                </c:pt>
                <c:pt idx="4">
                  <c:v>691024.84887332539</c:v>
                </c:pt>
                <c:pt idx="5">
                  <c:v>56069.086882757947</c:v>
                </c:pt>
                <c:pt idx="6">
                  <c:v>1346.6131798781798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05216"/>
        <c:axId val="176506752"/>
      </c:barChart>
      <c:catAx>
        <c:axId val="176505216"/>
        <c:scaling>
          <c:orientation val="minMax"/>
        </c:scaling>
        <c:axPos val="b"/>
        <c:numFmt formatCode="General" sourceLinked="0"/>
        <c:tickLblPos val="nextTo"/>
        <c:crossAx val="176506752"/>
        <c:crosses val="autoZero"/>
        <c:auto val="1"/>
        <c:lblAlgn val="ctr"/>
        <c:lblOffset val="100"/>
      </c:catAx>
      <c:valAx>
        <c:axId val="176506752"/>
        <c:scaling>
          <c:orientation val="minMax"/>
        </c:scaling>
        <c:axPos val="l"/>
        <c:majorGridlines>
          <c:spPr>
            <a:ln>
              <a:noFill/>
            </a:ln>
          </c:spPr>
        </c:majorGridlines>
        <c:numFmt formatCode="#,##0" sourceLinked="1"/>
        <c:tickLblPos val="nextTo"/>
        <c:crossAx val="17650521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120853.8970629361</c:v>
                </c:pt>
                <c:pt idx="1">
                  <c:v>95528.97606960425</c:v>
                </c:pt>
                <c:pt idx="2">
                  <c:v>1291.999</c:v>
                </c:pt>
                <c:pt idx="3">
                  <c:v>223214.96531537894</c:v>
                </c:pt>
                <c:pt idx="4">
                  <c:v>691024.84887332539</c:v>
                </c:pt>
                <c:pt idx="5">
                  <c:v>56069.086882757947</c:v>
                </c:pt>
                <c:pt idx="6">
                  <c:v>1346.6131798781798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22793.207590192298</c:v>
                </c:pt>
                <c:pt idx="2">
                  <c:v>17519.639575970137</c:v>
                </c:pt>
                <c:pt idx="3">
                  <c:v>283.67637747077941</c:v>
                </c:pt>
                <c:pt idx="4">
                  <c:v>52609.86766561414</c:v>
                </c:pt>
                <c:pt idx="5">
                  <c:v>97170.00334922348</c:v>
                </c:pt>
                <c:pt idx="6">
                  <c:v>14035.484166571208</c:v>
                </c:pt>
                <c:pt idx="7">
                  <c:v>340.22257850684576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30752"/>
        <c:axId val="183222656"/>
      </c:barChart>
      <c:catAx>
        <c:axId val="183130752"/>
        <c:scaling>
          <c:orientation val="minMax"/>
        </c:scaling>
        <c:axPos val="b"/>
        <c:numFmt formatCode="General" sourceLinked="0"/>
        <c:tickLblPos val="nextTo"/>
        <c:crossAx val="183222656"/>
        <c:crosses val="autoZero"/>
        <c:auto val="1"/>
        <c:lblAlgn val="ctr"/>
        <c:lblOffset val="100"/>
      </c:catAx>
      <c:valAx>
        <c:axId val="183222656"/>
        <c:scaling>
          <c:orientation val="minMax"/>
        </c:scaling>
        <c:axPos val="l"/>
        <c:majorGridlines>
          <c:spPr>
            <a:ln>
              <a:noFill/>
            </a:ln>
          </c:spPr>
        </c:majorGridlines>
        <c:numFmt formatCode="#,##0" sourceLinked="1"/>
        <c:tickLblPos val="nextTo"/>
        <c:crossAx val="18313075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22793.207590192298</c:v>
                </c:pt>
                <c:pt idx="2">
                  <c:v>17519.639575970137</c:v>
                </c:pt>
                <c:pt idx="3">
                  <c:v>283.67637747077941</c:v>
                </c:pt>
                <c:pt idx="4">
                  <c:v>52609.86766561414</c:v>
                </c:pt>
                <c:pt idx="5">
                  <c:v>97170.00334922348</c:v>
                </c:pt>
                <c:pt idx="6">
                  <c:v>14035.484166571208</c:v>
                </c:pt>
                <c:pt idx="7">
                  <c:v>340.22257850684576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12009</v>
      </c>
      <c r="B6" s="415"/>
      <c r="C6" s="416"/>
    </row>
    <row r="7" spans="1:7" s="413" customFormat="1" ht="15.75" customHeight="1">
      <c r="A7" s="417" t="str">
        <f>txtMunicipality</f>
        <v>DUFFEL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0.21956392959342802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0.21956392959342802</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7192</v>
      </c>
      <c r="C9" s="342">
        <v>7196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710.62</v>
      </c>
    </row>
    <row r="15" spans="1:6">
      <c r="A15" s="348" t="s">
        <v>184</v>
      </c>
      <c r="B15" s="334">
        <v>4</v>
      </c>
    </row>
    <row r="16" spans="1:6">
      <c r="A16" s="348" t="s">
        <v>6</v>
      </c>
      <c r="B16" s="334">
        <v>122</v>
      </c>
    </row>
    <row r="17" spans="1:6">
      <c r="A17" s="348" t="s">
        <v>7</v>
      </c>
      <c r="B17" s="334">
        <v>97</v>
      </c>
    </row>
    <row r="18" spans="1:6">
      <c r="A18" s="348" t="s">
        <v>8</v>
      </c>
      <c r="B18" s="334">
        <v>125</v>
      </c>
    </row>
    <row r="19" spans="1:6">
      <c r="A19" s="348" t="s">
        <v>9</v>
      </c>
      <c r="B19" s="334">
        <v>112</v>
      </c>
    </row>
    <row r="20" spans="1:6">
      <c r="A20" s="348" t="s">
        <v>10</v>
      </c>
      <c r="B20" s="334">
        <v>157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129</v>
      </c>
    </row>
    <row r="27" spans="1:6">
      <c r="A27" s="348" t="s">
        <v>17</v>
      </c>
      <c r="B27" s="334">
        <v>0</v>
      </c>
    </row>
    <row r="28" spans="1:6" s="356" customFormat="1">
      <c r="A28" s="355" t="s">
        <v>18</v>
      </c>
      <c r="B28" s="355">
        <v>200</v>
      </c>
    </row>
    <row r="29" spans="1:6">
      <c r="A29" s="355" t="s">
        <v>744</v>
      </c>
      <c r="B29" s="355">
        <v>113</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4577.8978098238003</v>
      </c>
    </row>
    <row r="37" spans="1:6">
      <c r="A37" s="348" t="s">
        <v>25</v>
      </c>
      <c r="B37" s="348" t="s">
        <v>28</v>
      </c>
      <c r="C37" s="334">
        <v>0</v>
      </c>
      <c r="D37" s="334">
        <v>0</v>
      </c>
      <c r="E37" s="334">
        <v>0</v>
      </c>
      <c r="F37" s="334">
        <v>0</v>
      </c>
    </row>
    <row r="38" spans="1:6">
      <c r="A38" s="348" t="s">
        <v>25</v>
      </c>
      <c r="B38" s="348" t="s">
        <v>29</v>
      </c>
      <c r="C38" s="334">
        <v>1</v>
      </c>
      <c r="D38" s="334">
        <v>47520882.6954</v>
      </c>
      <c r="E38" s="334">
        <v>2</v>
      </c>
      <c r="F38" s="334">
        <v>1694369.32425154</v>
      </c>
    </row>
    <row r="39" spans="1:6">
      <c r="A39" s="348" t="s">
        <v>30</v>
      </c>
      <c r="B39" s="348" t="s">
        <v>31</v>
      </c>
      <c r="C39" s="334">
        <v>5678</v>
      </c>
      <c r="D39" s="334">
        <v>89339832.713671297</v>
      </c>
      <c r="E39" s="334">
        <v>7147</v>
      </c>
      <c r="F39" s="334">
        <v>25427659.777883701</v>
      </c>
    </row>
    <row r="40" spans="1:6">
      <c r="A40" s="348" t="s">
        <v>30</v>
      </c>
      <c r="B40" s="348" t="s">
        <v>29</v>
      </c>
      <c r="C40" s="334">
        <v>0</v>
      </c>
      <c r="D40" s="334">
        <v>0</v>
      </c>
      <c r="E40" s="334">
        <v>0</v>
      </c>
      <c r="F40" s="334">
        <v>0</v>
      </c>
    </row>
    <row r="41" spans="1:6">
      <c r="A41" s="348" t="s">
        <v>32</v>
      </c>
      <c r="B41" s="348" t="s">
        <v>33</v>
      </c>
      <c r="C41" s="334">
        <v>26</v>
      </c>
      <c r="D41" s="334">
        <v>1086980.79545487</v>
      </c>
      <c r="E41" s="334">
        <v>62</v>
      </c>
      <c r="F41" s="334">
        <v>682358.82008050603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248372.044642555</v>
      </c>
      <c r="E44" s="334">
        <v>11</v>
      </c>
      <c r="F44" s="334">
        <v>486797.09559682303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96515.883498828902</v>
      </c>
      <c r="E47" s="334">
        <v>10</v>
      </c>
      <c r="F47" s="334">
        <v>75361298.867555693</v>
      </c>
    </row>
    <row r="48" spans="1:6">
      <c r="A48" s="348" t="s">
        <v>32</v>
      </c>
      <c r="B48" s="348" t="s">
        <v>29</v>
      </c>
      <c r="C48" s="334">
        <v>28</v>
      </c>
      <c r="D48" s="334">
        <v>421777980.27175599</v>
      </c>
      <c r="E48" s="334">
        <v>33</v>
      </c>
      <c r="F48" s="334">
        <v>8950524.8371840101</v>
      </c>
    </row>
    <row r="49" spans="1:6">
      <c r="A49" s="348" t="s">
        <v>32</v>
      </c>
      <c r="B49" s="348" t="s">
        <v>40</v>
      </c>
      <c r="C49" s="334">
        <v>0</v>
      </c>
      <c r="D49" s="334">
        <v>0</v>
      </c>
      <c r="E49" s="334">
        <v>0</v>
      </c>
      <c r="F49" s="334">
        <v>0</v>
      </c>
    </row>
    <row r="50" spans="1:6">
      <c r="A50" s="348" t="s">
        <v>32</v>
      </c>
      <c r="B50" s="348" t="s">
        <v>41</v>
      </c>
      <c r="C50" s="334">
        <v>5</v>
      </c>
      <c r="D50" s="334">
        <v>74945.157874658995</v>
      </c>
      <c r="E50" s="334">
        <v>6</v>
      </c>
      <c r="F50" s="334">
        <v>349448.15220496297</v>
      </c>
    </row>
    <row r="51" spans="1:6">
      <c r="A51" s="348" t="s">
        <v>42</v>
      </c>
      <c r="B51" s="348" t="s">
        <v>43</v>
      </c>
      <c r="C51" s="334">
        <v>32</v>
      </c>
      <c r="D51" s="334">
        <v>306682214.660662</v>
      </c>
      <c r="E51" s="334">
        <v>78</v>
      </c>
      <c r="F51" s="334">
        <v>10444340.934265999</v>
      </c>
    </row>
    <row r="52" spans="1:6">
      <c r="A52" s="348" t="s">
        <v>42</v>
      </c>
      <c r="B52" s="348" t="s">
        <v>29</v>
      </c>
      <c r="C52" s="334">
        <v>4</v>
      </c>
      <c r="D52" s="334">
        <v>11515600.5573276</v>
      </c>
      <c r="E52" s="334">
        <v>6</v>
      </c>
      <c r="F52" s="334">
        <v>142182.763720146</v>
      </c>
    </row>
    <row r="53" spans="1:6">
      <c r="A53" s="348" t="s">
        <v>44</v>
      </c>
      <c r="B53" s="348" t="s">
        <v>45</v>
      </c>
      <c r="C53" s="334">
        <v>127</v>
      </c>
      <c r="D53" s="334">
        <v>2706653.4228355298</v>
      </c>
      <c r="E53" s="334">
        <v>257</v>
      </c>
      <c r="F53" s="334">
        <v>1099636.9111478501</v>
      </c>
    </row>
    <row r="54" spans="1:6">
      <c r="A54" s="348" t="s">
        <v>46</v>
      </c>
      <c r="B54" s="348" t="s">
        <v>47</v>
      </c>
      <c r="C54" s="334">
        <v>0</v>
      </c>
      <c r="D54" s="334">
        <v>0</v>
      </c>
      <c r="E54" s="334">
        <v>1</v>
      </c>
      <c r="F54" s="334">
        <v>1291999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6549609.5379420603</v>
      </c>
      <c r="E57" s="334">
        <v>149</v>
      </c>
      <c r="F57" s="334">
        <v>16145016.9020718</v>
      </c>
    </row>
    <row r="58" spans="1:6">
      <c r="A58" s="348" t="s">
        <v>49</v>
      </c>
      <c r="B58" s="348" t="s">
        <v>51</v>
      </c>
      <c r="C58" s="334">
        <v>44</v>
      </c>
      <c r="D58" s="334">
        <v>17250860.804844901</v>
      </c>
      <c r="E58" s="334">
        <v>68</v>
      </c>
      <c r="F58" s="334">
        <v>7269111.88810468</v>
      </c>
    </row>
    <row r="59" spans="1:6">
      <c r="A59" s="348" t="s">
        <v>49</v>
      </c>
      <c r="B59" s="348" t="s">
        <v>52</v>
      </c>
      <c r="C59" s="334">
        <v>77</v>
      </c>
      <c r="D59" s="334">
        <v>1893289.26754188</v>
      </c>
      <c r="E59" s="334">
        <v>133</v>
      </c>
      <c r="F59" s="334">
        <v>3287938.12632751</v>
      </c>
    </row>
    <row r="60" spans="1:6">
      <c r="A60" s="348" t="s">
        <v>49</v>
      </c>
      <c r="B60" s="348" t="s">
        <v>53</v>
      </c>
      <c r="C60" s="334">
        <v>35</v>
      </c>
      <c r="D60" s="334">
        <v>1815214.59410943</v>
      </c>
      <c r="E60" s="334">
        <v>46</v>
      </c>
      <c r="F60" s="334">
        <v>1311841.4313465201</v>
      </c>
    </row>
    <row r="61" spans="1:6">
      <c r="A61" s="348" t="s">
        <v>49</v>
      </c>
      <c r="B61" s="348" t="s">
        <v>54</v>
      </c>
      <c r="C61" s="334">
        <v>102</v>
      </c>
      <c r="D61" s="334">
        <v>4602591.2409745604</v>
      </c>
      <c r="E61" s="334">
        <v>212</v>
      </c>
      <c r="F61" s="334">
        <v>2818970.8276854502</v>
      </c>
    </row>
    <row r="62" spans="1:6">
      <c r="A62" s="348" t="s">
        <v>49</v>
      </c>
      <c r="B62" s="348" t="s">
        <v>55</v>
      </c>
      <c r="C62" s="334">
        <v>4</v>
      </c>
      <c r="D62" s="334">
        <v>950006.20388152997</v>
      </c>
      <c r="E62" s="334">
        <v>4</v>
      </c>
      <c r="F62" s="334">
        <v>401113.699212479</v>
      </c>
    </row>
    <row r="63" spans="1:6">
      <c r="A63" s="348" t="s">
        <v>49</v>
      </c>
      <c r="B63" s="348" t="s">
        <v>29</v>
      </c>
      <c r="C63" s="334">
        <v>78</v>
      </c>
      <c r="D63" s="334">
        <v>10068667.5850469</v>
      </c>
      <c r="E63" s="334">
        <v>90</v>
      </c>
      <c r="F63" s="334">
        <v>3740254.86126641</v>
      </c>
    </row>
    <row r="64" spans="1:6">
      <c r="A64" s="348" t="s">
        <v>56</v>
      </c>
      <c r="B64" s="348" t="s">
        <v>57</v>
      </c>
      <c r="C64" s="334">
        <v>0</v>
      </c>
      <c r="D64" s="334">
        <v>0</v>
      </c>
      <c r="E64" s="334">
        <v>0</v>
      </c>
      <c r="F64" s="334">
        <v>0</v>
      </c>
    </row>
    <row r="65" spans="1:6">
      <c r="A65" s="348" t="s">
        <v>56</v>
      </c>
      <c r="B65" s="348" t="s">
        <v>29</v>
      </c>
      <c r="C65" s="334">
        <v>2</v>
      </c>
      <c r="D65" s="334">
        <v>99327.613866859596</v>
      </c>
      <c r="E65" s="334">
        <v>4</v>
      </c>
      <c r="F65" s="334">
        <v>17796.109169338299</v>
      </c>
    </row>
    <row r="66" spans="1:6">
      <c r="A66" s="348" t="s">
        <v>56</v>
      </c>
      <c r="B66" s="348" t="s">
        <v>58</v>
      </c>
      <c r="C66" s="334">
        <v>0</v>
      </c>
      <c r="D66" s="334">
        <v>0</v>
      </c>
      <c r="E66" s="334">
        <v>4</v>
      </c>
      <c r="F66" s="334">
        <v>36004</v>
      </c>
    </row>
    <row r="67" spans="1:6">
      <c r="A67" s="355" t="s">
        <v>56</v>
      </c>
      <c r="B67" s="355" t="s">
        <v>59</v>
      </c>
      <c r="C67" s="334">
        <v>0</v>
      </c>
      <c r="D67" s="334">
        <v>0</v>
      </c>
      <c r="E67" s="334">
        <v>0</v>
      </c>
      <c r="F67" s="334">
        <v>0</v>
      </c>
    </row>
    <row r="68" spans="1:6">
      <c r="A68" s="341" t="s">
        <v>56</v>
      </c>
      <c r="B68" s="341" t="s">
        <v>60</v>
      </c>
      <c r="C68" s="334">
        <v>3</v>
      </c>
      <c r="D68" s="334">
        <v>83042.656719906096</v>
      </c>
      <c r="E68" s="334">
        <v>9</v>
      </c>
      <c r="F68" s="334">
        <v>64508.413309134099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58912247</v>
      </c>
      <c r="E73" s="475">
        <v>56792318.159564711</v>
      </c>
    </row>
    <row r="74" spans="1:6">
      <c r="A74" s="348" t="s">
        <v>64</v>
      </c>
      <c r="B74" s="348" t="s">
        <v>657</v>
      </c>
      <c r="C74" s="1295" t="s">
        <v>659</v>
      </c>
      <c r="D74" s="475">
        <v>5387319</v>
      </c>
      <c r="E74" s="475">
        <v>4733678.2467030287</v>
      </c>
    </row>
    <row r="75" spans="1:6">
      <c r="A75" s="348" t="s">
        <v>65</v>
      </c>
      <c r="B75" s="348" t="s">
        <v>656</v>
      </c>
      <c r="C75" s="1295" t="s">
        <v>660</v>
      </c>
      <c r="D75" s="475">
        <v>6471700</v>
      </c>
      <c r="E75" s="475">
        <v>6241685.5163047677</v>
      </c>
    </row>
    <row r="76" spans="1:6">
      <c r="A76" s="348" t="s">
        <v>65</v>
      </c>
      <c r="B76" s="348" t="s">
        <v>657</v>
      </c>
      <c r="C76" s="1295" t="s">
        <v>661</v>
      </c>
      <c r="D76" s="475">
        <v>261515</v>
      </c>
      <c r="E76" s="475">
        <v>211211.18409152536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365224</v>
      </c>
      <c r="C83" s="475">
        <v>366831.67689716961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2806.7156096024942</v>
      </c>
    </row>
    <row r="92" spans="1:6">
      <c r="A92" s="341" t="s">
        <v>69</v>
      </c>
      <c r="B92" s="342">
        <v>5185.4985022170194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3973</v>
      </c>
    </row>
    <row r="98" spans="1:6">
      <c r="A98" s="348" t="s">
        <v>72</v>
      </c>
      <c r="B98" s="334">
        <v>11</v>
      </c>
    </row>
    <row r="99" spans="1:6">
      <c r="A99" s="348" t="s">
        <v>73</v>
      </c>
      <c r="B99" s="334">
        <v>28</v>
      </c>
    </row>
    <row r="100" spans="1:6">
      <c r="A100" s="348" t="s">
        <v>74</v>
      </c>
      <c r="B100" s="334">
        <v>541</v>
      </c>
    </row>
    <row r="101" spans="1:6">
      <c r="A101" s="348" t="s">
        <v>75</v>
      </c>
      <c r="B101" s="334">
        <v>56</v>
      </c>
    </row>
    <row r="102" spans="1:6">
      <c r="A102" s="348" t="s">
        <v>76</v>
      </c>
      <c r="B102" s="334">
        <v>72</v>
      </c>
    </row>
    <row r="103" spans="1:6">
      <c r="A103" s="348" t="s">
        <v>77</v>
      </c>
      <c r="B103" s="334">
        <v>142</v>
      </c>
    </row>
    <row r="104" spans="1:6">
      <c r="A104" s="348" t="s">
        <v>78</v>
      </c>
      <c r="B104" s="334">
        <v>1380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67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169062.93276665467</v>
      </c>
      <c r="C3" s="43" t="s">
        <v>170</v>
      </c>
      <c r="D3" s="43"/>
      <c r="E3" s="154"/>
      <c r="F3" s="43"/>
      <c r="G3" s="43"/>
      <c r="H3" s="43"/>
      <c r="I3" s="43"/>
      <c r="J3" s="43"/>
      <c r="K3" s="96"/>
    </row>
    <row r="4" spans="1:11">
      <c r="A4" s="383" t="s">
        <v>171</v>
      </c>
      <c r="B4" s="49">
        <f>IF(ISERROR('SEAP template'!B78+'SEAP template'!C78),0,'SEAP template'!B78+'SEAP template'!C78)</f>
        <v>99509.464111819514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21748.80529411765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0.21956392959342802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30562.629705882355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128605.125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1291.999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1291.999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0.21956392959342802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283.67637747077941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25427.659777883702</v>
      </c>
      <c r="C5" s="17">
        <f>IF(ISERROR('Eigen informatie GS &amp; warmtenet'!B57),0,'Eigen informatie GS &amp; warmtenet'!B57)</f>
        <v>0</v>
      </c>
      <c r="D5" s="30">
        <f>(SUM(HH_hh_gas_kWh,HH_rest_gas_kWh)/1000)*0.902</f>
        <v>80584.529107731505</v>
      </c>
      <c r="E5" s="17">
        <f>B46*B57</f>
        <v>1391.5519856303758</v>
      </c>
      <c r="F5" s="17">
        <f>B51*B62</f>
        <v>0</v>
      </c>
      <c r="G5" s="18"/>
      <c r="H5" s="17"/>
      <c r="I5" s="17"/>
      <c r="J5" s="17">
        <f>B50*B61+C50*C61</f>
        <v>0</v>
      </c>
      <c r="K5" s="17"/>
      <c r="L5" s="17"/>
      <c r="M5" s="17"/>
      <c r="N5" s="17">
        <f>B48*B59+C48*C59</f>
        <v>9484.6672487546912</v>
      </c>
      <c r="O5" s="17">
        <f>B69*B70*B71</f>
        <v>262.64000000000004</v>
      </c>
      <c r="P5" s="17">
        <f>B77*B78*B79/1000-B77*B78*B79/1000/B80</f>
        <v>896.13333333333333</v>
      </c>
    </row>
    <row r="6" spans="1:16">
      <c r="A6" s="16" t="s">
        <v>621</v>
      </c>
      <c r="B6" s="788">
        <f>kWh_PV_kleiner_dan_10kW</f>
        <v>2806.7156096024942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28234.375387486198</v>
      </c>
      <c r="C8" s="21">
        <f>C5</f>
        <v>0</v>
      </c>
      <c r="D8" s="21">
        <f>D5</f>
        <v>80584.529107731505</v>
      </c>
      <c r="E8" s="21">
        <f>E5</f>
        <v>1391.5519856303758</v>
      </c>
      <c r="F8" s="21">
        <f>F5</f>
        <v>0</v>
      </c>
      <c r="G8" s="21"/>
      <c r="H8" s="21"/>
      <c r="I8" s="21"/>
      <c r="J8" s="21">
        <f>J5</f>
        <v>0</v>
      </c>
      <c r="K8" s="21"/>
      <c r="L8" s="21">
        <f>L5</f>
        <v>0</v>
      </c>
      <c r="M8" s="21">
        <f>M5</f>
        <v>0</v>
      </c>
      <c r="N8" s="21">
        <f>N5</f>
        <v>9484.6672487546912</v>
      </c>
      <c r="O8" s="21">
        <f>O5</f>
        <v>262.64000000000004</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0.21956392959342802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6199.2504096924367</v>
      </c>
      <c r="C12" s="23">
        <f ca="1">C10*C8</f>
        <v>0</v>
      </c>
      <c r="D12" s="23">
        <f>D8*D10</f>
        <v>16278.074879761765</v>
      </c>
      <c r="E12" s="23">
        <f>E10*E8</f>
        <v>315.88230073809535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3973</v>
      </c>
      <c r="C18" s="166" t="s">
        <v>111</v>
      </c>
      <c r="D18" s="228"/>
      <c r="E18" s="15"/>
    </row>
    <row r="19" spans="1:7">
      <c r="A19" s="171" t="s">
        <v>72</v>
      </c>
      <c r="B19" s="37">
        <f>aantalw2001_ander</f>
        <v>11</v>
      </c>
      <c r="C19" s="166" t="s">
        <v>111</v>
      </c>
      <c r="D19" s="229"/>
      <c r="E19" s="15"/>
    </row>
    <row r="20" spans="1:7">
      <c r="A20" s="171" t="s">
        <v>73</v>
      </c>
      <c r="B20" s="37">
        <f>aantalw2001_propaan</f>
        <v>28</v>
      </c>
      <c r="C20" s="167">
        <f>IF(ISERROR(B20/SUM($B$20,$B$21,$B$22)*100),0,B20/SUM($B$20,$B$21,$B$22)*100)</f>
        <v>4.4799999999999995</v>
      </c>
      <c r="D20" s="229"/>
      <c r="E20" s="15"/>
    </row>
    <row r="21" spans="1:7">
      <c r="A21" s="171" t="s">
        <v>74</v>
      </c>
      <c r="B21" s="37">
        <f>aantalw2001_elektriciteit</f>
        <v>541</v>
      </c>
      <c r="C21" s="167">
        <f>IF(ISERROR(B21/SUM($B$20,$B$21,$B$22)*100),0,B21/SUM($B$20,$B$21,$B$22)*100)</f>
        <v>86.56</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72</v>
      </c>
      <c r="C23" s="166" t="s">
        <v>111</v>
      </c>
      <c r="D23" s="228"/>
      <c r="E23" s="15"/>
    </row>
    <row r="24" spans="1:7">
      <c r="A24" s="171" t="s">
        <v>77</v>
      </c>
      <c r="B24" s="37">
        <f>aantalw2001_steenkool</f>
        <v>142</v>
      </c>
      <c r="C24" s="166" t="s">
        <v>111</v>
      </c>
      <c r="D24" s="229"/>
      <c r="E24" s="15"/>
    </row>
    <row r="25" spans="1:7">
      <c r="A25" s="171" t="s">
        <v>78</v>
      </c>
      <c r="B25" s="37">
        <f>aantalw2001_stookolie</f>
        <v>1380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7192</v>
      </c>
      <c r="C28" s="36"/>
      <c r="D28" s="228"/>
    </row>
    <row r="29" spans="1:7" s="15" customFormat="1">
      <c r="A29" s="230" t="s">
        <v>794</v>
      </c>
      <c r="B29" s="37">
        <f>SUM(HH_hh_gas_aantal,HH_rest_gas_aantal)</f>
        <v>5678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5678</v>
      </c>
      <c r="C32" s="167">
        <f>IF(ISERROR(B32/SUM($B$32,$B$34,$B$35,$B$36,$B$38,$B$39)*100),0,B32/SUM($B$32,$B$34,$B$35,$B$36,$B$38,$B$39)*100)</f>
        <v>79.468159552134352</v>
      </c>
      <c r="D32" s="233"/>
      <c r="G32" s="15"/>
    </row>
    <row r="33" spans="1:7">
      <c r="A33" s="171" t="s">
        <v>72</v>
      </c>
      <c r="B33" s="34" t="s">
        <v>111</v>
      </c>
      <c r="C33" s="167"/>
      <c r="D33" s="233"/>
      <c r="G33" s="15"/>
    </row>
    <row r="34" spans="1:7">
      <c r="A34" s="171" t="s">
        <v>73</v>
      </c>
      <c r="B34" s="33">
        <f>IF((($B$28-$B$32-$B$39-$B$77-$B$38)*C20/100)&lt;0,0,($B$28-$B$32-$B$39-$B$77-$B$38)*C20/100)</f>
        <v>65.721599999999995</v>
      </c>
      <c r="C34" s="167">
        <f>IF(ISERROR(B34/SUM($B$32,$B$34,$B$35,$B$36,$B$38,$B$39)*100),0,B34/SUM($B$32,$B$34,$B$35,$B$36,$B$38,$B$39)*100)</f>
        <v>0.91982645206438074</v>
      </c>
      <c r="D34" s="233"/>
      <c r="G34" s="15"/>
    </row>
    <row r="35" spans="1:7">
      <c r="A35" s="171" t="s">
        <v>74</v>
      </c>
      <c r="B35" s="33">
        <f>IF((($B$28-$B$32-$B$39-$B$77-$B$38)*C21/100)&lt;0,0,($B$28-$B$32-$B$39-$B$77-$B$38)*C21/100)</f>
        <v>1269.8352</v>
      </c>
      <c r="C35" s="167">
        <f>IF(ISERROR(B35/SUM($B$32,$B$34,$B$35,$B$36,$B$38,$B$39)*100),0,B35/SUM($B$32,$B$34,$B$35,$B$36,$B$38,$B$39)*100)</f>
        <v>17.772361091672497</v>
      </c>
      <c r="D35" s="233"/>
      <c r="G35" s="15"/>
    </row>
    <row r="36" spans="1:7">
      <c r="A36" s="171" t="s">
        <v>75</v>
      </c>
      <c r="B36" s="33">
        <f>IF((($B$28-$B$32-$B$39-$B$77-$B$38)*C22/100)&lt;0,0,($B$28-$B$32-$B$39-$B$77-$B$38)*C22/100)</f>
        <v>131.44319999999999</v>
      </c>
      <c r="C36" s="167">
        <f>IF(ISERROR(B36/SUM($B$32,$B$34,$B$35,$B$36,$B$38,$B$39)*100),0,B36/SUM($B$32,$B$34,$B$35,$B$36,$B$38,$B$39)*100)</f>
        <v>1.8396529041287615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5678</v>
      </c>
      <c r="C44" s="34" t="s">
        <v>111</v>
      </c>
      <c r="D44" s="174"/>
    </row>
    <row r="45" spans="1:7">
      <c r="A45" s="171" t="s">
        <v>72</v>
      </c>
      <c r="B45" s="33" t="str">
        <f t="shared" si="0"/>
        <v>-</v>
      </c>
      <c r="C45" s="34" t="s">
        <v>111</v>
      </c>
      <c r="D45" s="174"/>
    </row>
    <row r="46" spans="1:7">
      <c r="A46" s="171" t="s">
        <v>73</v>
      </c>
      <c r="B46" s="33">
        <f t="shared" si="0"/>
        <v>65.721599999999995</v>
      </c>
      <c r="C46" s="34" t="s">
        <v>111</v>
      </c>
      <c r="D46" s="174"/>
    </row>
    <row r="47" spans="1:7">
      <c r="A47" s="171" t="s">
        <v>74</v>
      </c>
      <c r="B47" s="33">
        <f t="shared" si="0"/>
        <v>1269.8352</v>
      </c>
      <c r="C47" s="34" t="s">
        <v>111</v>
      </c>
      <c r="D47" s="174"/>
    </row>
    <row r="48" spans="1:7">
      <c r="A48" s="171" t="s">
        <v>75</v>
      </c>
      <c r="B48" s="33">
        <f t="shared" si="0"/>
        <v>131.44319999999999</v>
      </c>
      <c r="C48" s="33">
        <f>B48*10</f>
        <v>1314.4319999999998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34974.247736014848</v>
      </c>
      <c r="C5" s="17">
        <f>IF(ISERROR('Eigen informatie GS &amp; warmtenet'!B58),0,'Eigen informatie GS &amp; warmtenet'!B58)</f>
        <v>0</v>
      </c>
      <c r="D5" s="30">
        <f>SUM(D6:D12)</f>
        <v>38903.475789375821</v>
      </c>
      <c r="E5" s="17">
        <f>SUM(E6:E12)</f>
        <v>210.25410951165753</v>
      </c>
      <c r="F5" s="17">
        <f>SUM(F6:F12)</f>
        <v>7244.1919565613234</v>
      </c>
      <c r="G5" s="18"/>
      <c r="H5" s="17"/>
      <c r="I5" s="17"/>
      <c r="J5" s="17">
        <f>SUM(J6:J12)</f>
        <v>0.35950215176275924</v>
      </c>
      <c r="K5" s="17"/>
      <c r="L5" s="17"/>
      <c r="M5" s="17"/>
      <c r="N5" s="17">
        <f>SUM(N6:N12)</f>
        <v>14193.320309322169</v>
      </c>
      <c r="O5" s="17">
        <f>B38*B39*B40</f>
        <v>3.1266666666666669</v>
      </c>
      <c r="P5" s="17">
        <f>B46*B47*B48/1000-B46*B47*B48/1000/B49</f>
        <v>0</v>
      </c>
      <c r="R5" s="32"/>
    </row>
    <row r="6" spans="1:18">
      <c r="A6" s="32" t="s">
        <v>54</v>
      </c>
      <c r="B6" s="37">
        <f>B26</f>
        <v>2818.9708276854503</v>
      </c>
      <c r="C6" s="33"/>
      <c r="D6" s="37">
        <f>IF(ISERROR(TER_kantoor_gas_kWh/1000),0,TER_kantoor_gas_kWh/1000)*0.902</f>
        <v>4151.5372993590536</v>
      </c>
      <c r="E6" s="33">
        <f>$C$26*'E Balans VL '!I12/100/3.6*1000000</f>
        <v>1.7668371572923548E-2</v>
      </c>
      <c r="F6" s="33">
        <f>$C$26*('E Balans VL '!L12+'E Balans VL '!N12)/100/3.6*1000000</f>
        <v>423.61254584364855</v>
      </c>
      <c r="G6" s="34"/>
      <c r="H6" s="33"/>
      <c r="I6" s="33"/>
      <c r="J6" s="33">
        <f>$C$26*('E Balans VL '!D12+'E Balans VL '!E12)/100/3.6*1000000</f>
        <v>0</v>
      </c>
      <c r="K6" s="33"/>
      <c r="L6" s="33"/>
      <c r="M6" s="33"/>
      <c r="N6" s="33">
        <f>$C$26*'E Balans VL '!Y12/100/3.6*1000000</f>
        <v>2.6959276383874449</v>
      </c>
      <c r="O6" s="33"/>
      <c r="P6" s="33"/>
      <c r="R6" s="32"/>
    </row>
    <row r="7" spans="1:18">
      <c r="A7" s="32" t="s">
        <v>53</v>
      </c>
      <c r="B7" s="37">
        <f t="shared" ref="B7:B12" si="0">B27</f>
        <v>1311.84143134652</v>
      </c>
      <c r="C7" s="33"/>
      <c r="D7" s="37">
        <f>IF(ISERROR(TER_horeca_gas_kWh/1000),0,TER_horeca_gas_kWh/1000)*0.902</f>
        <v>1637.3235638867059</v>
      </c>
      <c r="E7" s="33">
        <f>$C$27*'E Balans VL '!I9/100/3.6*1000000</f>
        <v>18.785350785813051</v>
      </c>
      <c r="F7" s="33">
        <f>$C$27*('E Balans VL '!L9+'E Balans VL '!N9)/100/3.6*1000000</f>
        <v>166.12239140574289</v>
      </c>
      <c r="G7" s="34"/>
      <c r="H7" s="33"/>
      <c r="I7" s="33"/>
      <c r="J7" s="33">
        <f>$C$27*('E Balans VL '!D9+'E Balans VL '!E9)/100/3.6*1000000</f>
        <v>0</v>
      </c>
      <c r="K7" s="33"/>
      <c r="L7" s="33"/>
      <c r="M7" s="33"/>
      <c r="N7" s="33">
        <f>$C$27*'E Balans VL '!Y9/100/3.6*1000000</f>
        <v>0.37712548789135725</v>
      </c>
      <c r="O7" s="33"/>
      <c r="P7" s="33"/>
      <c r="R7" s="32"/>
    </row>
    <row r="8" spans="1:18">
      <c r="A8" s="6" t="s">
        <v>52</v>
      </c>
      <c r="B8" s="37">
        <f t="shared" si="0"/>
        <v>3287.93812632751</v>
      </c>
      <c r="C8" s="33"/>
      <c r="D8" s="37">
        <f>IF(ISERROR(TER_handel_gas_kWh/1000),0,TER_handel_gas_kWh/1000)*0.902</f>
        <v>1707.7469193227757</v>
      </c>
      <c r="E8" s="33">
        <f>$C$28*'E Balans VL '!I13/100/3.6*1000000</f>
        <v>119.25311039153387</v>
      </c>
      <c r="F8" s="33">
        <f>$C$28*('E Balans VL '!L13+'E Balans VL '!N13)/100/3.6*1000000</f>
        <v>633.29017562087813</v>
      </c>
      <c r="G8" s="34"/>
      <c r="H8" s="33"/>
      <c r="I8" s="33"/>
      <c r="J8" s="33">
        <f>$C$28*('E Balans VL '!D13+'E Balans VL '!E13)/100/3.6*1000000</f>
        <v>0</v>
      </c>
      <c r="K8" s="33"/>
      <c r="L8" s="33"/>
      <c r="M8" s="33"/>
      <c r="N8" s="33">
        <f>$C$28*'E Balans VL '!Y13/100/3.6*1000000</f>
        <v>4.5545508257866523</v>
      </c>
      <c r="O8" s="33"/>
      <c r="P8" s="33"/>
      <c r="R8" s="32"/>
    </row>
    <row r="9" spans="1:18">
      <c r="A9" s="32" t="s">
        <v>51</v>
      </c>
      <c r="B9" s="37">
        <f t="shared" si="0"/>
        <v>7269.1118881046796</v>
      </c>
      <c r="C9" s="33"/>
      <c r="D9" s="37">
        <f>IF(ISERROR(TER_gezond_gas_kWh/1000),0,TER_gezond_gas_kWh/1000)*0.902</f>
        <v>15560.276445970103</v>
      </c>
      <c r="E9" s="33">
        <f>$C$29*'E Balans VL '!I10/100/3.6*1000000</f>
        <v>0.45511817370933561</v>
      </c>
      <c r="F9" s="33">
        <f>$C$29*('E Balans VL '!L10+'E Balans VL '!N10)/100/3.6*1000000</f>
        <v>1079.8487033158772</v>
      </c>
      <c r="G9" s="34"/>
      <c r="H9" s="33"/>
      <c r="I9" s="33"/>
      <c r="J9" s="33">
        <f>$C$29*('E Balans VL '!D10+'E Balans VL '!E10)/100/3.6*1000000</f>
        <v>0</v>
      </c>
      <c r="K9" s="33"/>
      <c r="L9" s="33"/>
      <c r="M9" s="33"/>
      <c r="N9" s="33">
        <f>$C$29*'E Balans VL '!Y10/100/3.6*1000000</f>
        <v>112.43932409454381</v>
      </c>
      <c r="O9" s="33"/>
      <c r="P9" s="33"/>
      <c r="R9" s="32"/>
    </row>
    <row r="10" spans="1:18">
      <c r="A10" s="32" t="s">
        <v>50</v>
      </c>
      <c r="B10" s="37">
        <f t="shared" si="0"/>
        <v>16145.0169020718</v>
      </c>
      <c r="C10" s="33"/>
      <c r="D10" s="37">
        <f>IF(ISERROR(TER_ander_gas_kWh/1000),0,TER_ander_gas_kWh/1000)*0.902</f>
        <v>5907.7478032237386</v>
      </c>
      <c r="E10" s="33">
        <f>$C$30*'E Balans VL '!I14/100/3.6*1000000</f>
        <v>19.244283221848772</v>
      </c>
      <c r="F10" s="33">
        <f>$C$30*('E Balans VL '!L14+'E Balans VL '!N14)/100/3.6*1000000</f>
        <v>4224.2541726590243</v>
      </c>
      <c r="G10" s="34"/>
      <c r="H10" s="33"/>
      <c r="I10" s="33"/>
      <c r="J10" s="33">
        <f>$C$30*('E Balans VL '!D14+'E Balans VL '!E14)/100/3.6*1000000</f>
        <v>0.35044503022519297</v>
      </c>
      <c r="K10" s="33"/>
      <c r="L10" s="33"/>
      <c r="M10" s="33"/>
      <c r="N10" s="33">
        <f>$C$30*'E Balans VL '!Y14/100/3.6*1000000</f>
        <v>13709.95329023669</v>
      </c>
      <c r="O10" s="33"/>
      <c r="P10" s="33"/>
      <c r="R10" s="32"/>
    </row>
    <row r="11" spans="1:18">
      <c r="A11" s="32" t="s">
        <v>55</v>
      </c>
      <c r="B11" s="37">
        <f t="shared" si="0"/>
        <v>401.11369921247899</v>
      </c>
      <c r="C11" s="33"/>
      <c r="D11" s="37">
        <f>IF(ISERROR(TER_onderwijs_gas_kWh/1000),0,TER_onderwijs_gas_kWh/1000)*0.902</f>
        <v>856.90559590114003</v>
      </c>
      <c r="E11" s="33">
        <f>$C$31*'E Balans VL '!I11/100/3.6*1000000</f>
        <v>6.0521596660705477</v>
      </c>
      <c r="F11" s="33">
        <f>$C$31*('E Balans VL '!L11+'E Balans VL '!N11)/100/3.6*1000000</f>
        <v>70.281528084006553</v>
      </c>
      <c r="G11" s="34"/>
      <c r="H11" s="33"/>
      <c r="I11" s="33"/>
      <c r="J11" s="33">
        <f>$C$31*('E Balans VL '!D11+'E Balans VL '!E11)/100/3.6*1000000</f>
        <v>0</v>
      </c>
      <c r="K11" s="33"/>
      <c r="L11" s="33"/>
      <c r="M11" s="33"/>
      <c r="N11" s="33">
        <f>$C$31*'E Balans VL '!Y11/100/3.6*1000000</f>
        <v>1.1287644434085917</v>
      </c>
      <c r="O11" s="33"/>
      <c r="P11" s="33"/>
      <c r="R11" s="32"/>
    </row>
    <row r="12" spans="1:18">
      <c r="A12" s="32" t="s">
        <v>260</v>
      </c>
      <c r="B12" s="37">
        <f t="shared" si="0"/>
        <v>3740.25486126641</v>
      </c>
      <c r="C12" s="33"/>
      <c r="D12" s="37">
        <f>IF(ISERROR(TER_rest_gas_kWh/1000),0,TER_rest_gas_kWh/1000)*0.902</f>
        <v>9081.9381617123036</v>
      </c>
      <c r="E12" s="33">
        <f>$C$32*'E Balans VL '!I8/100/3.6*1000000</f>
        <v>46.446418901109055</v>
      </c>
      <c r="F12" s="33">
        <f>$C$32*('E Balans VL '!L8+'E Balans VL '!N8)/100/3.6*1000000</f>
        <v>646.78243963214572</v>
      </c>
      <c r="G12" s="34"/>
      <c r="H12" s="33"/>
      <c r="I12" s="33"/>
      <c r="J12" s="33">
        <f>$C$32*('E Balans VL '!D8+'E Balans VL '!E8)/100/3.6*1000000</f>
        <v>9.0571215375662428E-3</v>
      </c>
      <c r="K12" s="33"/>
      <c r="L12" s="33"/>
      <c r="M12" s="33"/>
      <c r="N12" s="33">
        <f>$C$32*'E Balans VL '!Y8/100/3.6*1000000</f>
        <v>362.17132659545985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34974.247736014848</v>
      </c>
      <c r="C16" s="21">
        <f t="shared" ca="1" si="1"/>
        <v>0</v>
      </c>
      <c r="D16" s="21">
        <f t="shared" ca="1" si="1"/>
        <v>38903.475789375821</v>
      </c>
      <c r="E16" s="21">
        <f t="shared" si="1"/>
        <v>210.25410951165753</v>
      </c>
      <c r="F16" s="21">
        <f t="shared" ca="1" si="1"/>
        <v>7244.1919565613234</v>
      </c>
      <c r="G16" s="21">
        <f t="shared" si="1"/>
        <v>0</v>
      </c>
      <c r="H16" s="21">
        <f t="shared" si="1"/>
        <v>0</v>
      </c>
      <c r="I16" s="21">
        <f t="shared" si="1"/>
        <v>0</v>
      </c>
      <c r="J16" s="21">
        <f t="shared" si="1"/>
        <v>0.35950215176275924</v>
      </c>
      <c r="K16" s="21">
        <f t="shared" si="1"/>
        <v>0</v>
      </c>
      <c r="L16" s="21">
        <f t="shared" ca="1" si="1"/>
        <v>0</v>
      </c>
      <c r="M16" s="21">
        <f t="shared" si="1"/>
        <v>0</v>
      </c>
      <c r="N16" s="21">
        <f t="shared" ca="1" si="1"/>
        <v>14193.320309322169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0.21956392959342802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7679.0832674934736</v>
      </c>
      <c r="C20" s="23">
        <f t="shared" ref="C20:P20" ca="1" si="2">C16*C18</f>
        <v>0</v>
      </c>
      <c r="D20" s="23">
        <f t="shared" ca="1" si="2"/>
        <v>7858.5021094539161</v>
      </c>
      <c r="E20" s="23">
        <f t="shared" si="2"/>
        <v>47.727682859146263</v>
      </c>
      <c r="F20" s="23">
        <f t="shared" ca="1" si="2"/>
        <v>1934.1992524018735</v>
      </c>
      <c r="G20" s="23">
        <f t="shared" si="2"/>
        <v>0</v>
      </c>
      <c r="H20" s="23">
        <f t="shared" si="2"/>
        <v>0</v>
      </c>
      <c r="I20" s="23">
        <f t="shared" si="2"/>
        <v>0</v>
      </c>
      <c r="J20" s="23">
        <f t="shared" si="2"/>
        <v>0.12726376172401677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2818.9708276854503</v>
      </c>
      <c r="C26" s="39">
        <f>IF(ISERROR(B26*3.6/1000000/'E Balans VL '!Z12*100),0,B26*3.6/1000000/'E Balans VL '!Z12*100)</f>
        <v>5.9588577686769367E-2</v>
      </c>
      <c r="D26" s="237" t="s">
        <v>754</v>
      </c>
      <c r="F26" s="6"/>
    </row>
    <row r="27" spans="1:18">
      <c r="A27" s="231" t="s">
        <v>53</v>
      </c>
      <c r="B27" s="33">
        <f>IF(ISERROR(TER_horeca_ele_kWh/1000),0,TER_horeca_ele_kWh/1000)</f>
        <v>1311.84143134652</v>
      </c>
      <c r="C27" s="39">
        <f>IF(ISERROR(B27*3.6/1000000/'E Balans VL '!Z9*100),0,B27*3.6/1000000/'E Balans VL '!Z9*100)</f>
        <v>0.10341197108478301</v>
      </c>
      <c r="D27" s="237" t="s">
        <v>754</v>
      </c>
      <c r="F27" s="6"/>
    </row>
    <row r="28" spans="1:18">
      <c r="A28" s="171" t="s">
        <v>52</v>
      </c>
      <c r="B28" s="33">
        <f>IF(ISERROR(TER_handel_ele_kWh/1000),0,TER_handel_ele_kWh/1000)</f>
        <v>3287.93812632751</v>
      </c>
      <c r="C28" s="39">
        <f>IF(ISERROR(B28*3.6/1000000/'E Balans VL '!Z13*100),0,B28*3.6/1000000/'E Balans VL '!Z13*100)</f>
        <v>9.5429249184693019E-2</v>
      </c>
      <c r="D28" s="237" t="s">
        <v>754</v>
      </c>
      <c r="F28" s="6"/>
    </row>
    <row r="29" spans="1:18">
      <c r="A29" s="231" t="s">
        <v>51</v>
      </c>
      <c r="B29" s="33">
        <f>IF(ISERROR(TER_gezond_ele_kWh/1000),0,TER_gezond_ele_kWh/1000)</f>
        <v>7269.1118881046796</v>
      </c>
      <c r="C29" s="39">
        <f>IF(ISERROR(B29*3.6/1000000/'E Balans VL '!Z10*100),0,B29*3.6/1000000/'E Balans VL '!Z10*100)</f>
        <v>0.76555684378532007</v>
      </c>
      <c r="D29" s="237" t="s">
        <v>754</v>
      </c>
      <c r="F29" s="6"/>
    </row>
    <row r="30" spans="1:18">
      <c r="A30" s="231" t="s">
        <v>50</v>
      </c>
      <c r="B30" s="33">
        <f>IF(ISERROR(TER_ander_ele_kWh/1000),0,TER_ander_ele_kWh/1000)</f>
        <v>16145.0169020718</v>
      </c>
      <c r="C30" s="39">
        <f>IF(ISERROR(B30*3.6/1000000/'E Balans VL '!Z14*100),0,B30*3.6/1000000/'E Balans VL '!Z14*100)</f>
        <v>1.1908599533770436</v>
      </c>
      <c r="D30" s="237" t="s">
        <v>754</v>
      </c>
      <c r="F30" s="6"/>
    </row>
    <row r="31" spans="1:18">
      <c r="A31" s="231" t="s">
        <v>55</v>
      </c>
      <c r="B31" s="33">
        <f>IF(ISERROR(TER_onderwijs_ele_kWh/1000),0,TER_onderwijs_ele_kWh/1000)</f>
        <v>401.11369921247899</v>
      </c>
      <c r="C31" s="39">
        <f>IF(ISERROR(B31*3.6/1000000/'E Balans VL '!Z11*100),0,B31*3.6/1000000/'E Balans VL '!Z11*100)</f>
        <v>9.9615320786668571E-2</v>
      </c>
      <c r="D31" s="237" t="s">
        <v>754</v>
      </c>
    </row>
    <row r="32" spans="1:18">
      <c r="A32" s="231" t="s">
        <v>260</v>
      </c>
      <c r="B32" s="33">
        <f>IF(ISERROR(TER_rest_ele_kWh/1000),0,TER_rest_ele_kWh/1000)</f>
        <v>3740.25486126641</v>
      </c>
      <c r="C32" s="39">
        <f>IF(ISERROR(B32*3.6/1000000/'E Balans VL '!Z8*100),0,B32*3.6/1000000/'E Balans VL '!Z8*100)</f>
        <v>3.0777332824567419E-2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85830.427772622003</v>
      </c>
      <c r="C5" s="17">
        <f>IF(ISERROR('Eigen informatie GS &amp; warmtenet'!B59),0,'Eigen informatie GS &amp; warmtenet'!B59)</f>
        <v>0</v>
      </c>
      <c r="D5" s="30">
        <f>SUM(D6:D15)</f>
        <v>381802.88432621071</v>
      </c>
      <c r="E5" s="17">
        <f>SUM(E6:E15)</f>
        <v>805.81376098164969</v>
      </c>
      <c r="F5" s="17">
        <f>SUM(F6:F15)</f>
        <v>4228.8743512448282</v>
      </c>
      <c r="G5" s="18"/>
      <c r="H5" s="17"/>
      <c r="I5" s="17"/>
      <c r="J5" s="17">
        <f>SUM(J6:J15)</f>
        <v>43.698041122126789</v>
      </c>
      <c r="K5" s="17"/>
      <c r="L5" s="17"/>
      <c r="M5" s="17"/>
      <c r="N5" s="17">
        <f>SUM(N6:N15)</f>
        <v>221321.72204971543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486.797095596823</v>
      </c>
      <c r="C8" s="33"/>
      <c r="D8" s="37">
        <f>IF( ISERROR(IND_metaal_Gas_kWH/1000),0,IND_metaal_Gas_kWH/1000)*0.902</f>
        <v>224.03158426758463</v>
      </c>
      <c r="E8" s="33">
        <f>C30*'E Balans VL '!I18/100/3.6*1000000</f>
        <v>4.4756291409066904</v>
      </c>
      <c r="F8" s="33">
        <f>C30*'E Balans VL '!L18/100/3.6*1000000+C30*'E Balans VL '!N18/100/3.6*1000000</f>
        <v>45.64536045111101</v>
      </c>
      <c r="G8" s="34"/>
      <c r="H8" s="33"/>
      <c r="I8" s="33"/>
      <c r="J8" s="40">
        <f>C30*'E Balans VL '!D18/100/3.6*1000000+C30*'E Balans VL '!E18/100/3.6*1000000</f>
        <v>0</v>
      </c>
      <c r="K8" s="33"/>
      <c r="L8" s="33"/>
      <c r="M8" s="33"/>
      <c r="N8" s="33">
        <f>C30*'E Balans VL '!Y18/100/3.6*1000000</f>
        <v>6.9449650347660636</v>
      </c>
      <c r="O8" s="33"/>
      <c r="P8" s="33"/>
      <c r="R8" s="32"/>
    </row>
    <row r="9" spans="1:18">
      <c r="A9" s="6" t="s">
        <v>33</v>
      </c>
      <c r="B9" s="37">
        <f t="shared" si="0"/>
        <v>682.35882008050601</v>
      </c>
      <c r="C9" s="33"/>
      <c r="D9" s="37">
        <f>IF( ISERROR(IND_andere_gas_kWh/1000),0,IND_andere_gas_kWh/1000)*0.902</f>
        <v>980.45667750029281</v>
      </c>
      <c r="E9" s="33">
        <f>C31*'E Balans VL '!I19/100/3.6*1000000</f>
        <v>199.46676706892492</v>
      </c>
      <c r="F9" s="33">
        <f>C31*'E Balans VL '!L19/100/3.6*1000000+C31*'E Balans VL '!N19/100/3.6*1000000</f>
        <v>548.32696175147566</v>
      </c>
      <c r="G9" s="34"/>
      <c r="H9" s="33"/>
      <c r="I9" s="33"/>
      <c r="J9" s="40">
        <f>C31*'E Balans VL '!D19/100/3.6*1000000+C31*'E Balans VL '!E19/100/3.6*1000000</f>
        <v>0</v>
      </c>
      <c r="K9" s="33"/>
      <c r="L9" s="33"/>
      <c r="M9" s="33"/>
      <c r="N9" s="33">
        <f>C31*'E Balans VL '!Y19/100/3.6*1000000</f>
        <v>225.4619367895892</v>
      </c>
      <c r="O9" s="33"/>
      <c r="P9" s="33"/>
      <c r="R9" s="32"/>
    </row>
    <row r="10" spans="1:18">
      <c r="A10" s="6" t="s">
        <v>41</v>
      </c>
      <c r="B10" s="37">
        <f t="shared" si="0"/>
        <v>349.44815220496298</v>
      </c>
      <c r="C10" s="33"/>
      <c r="D10" s="37">
        <f>IF( ISERROR(IND_voed_gas_kWh/1000),0,IND_voed_gas_kWh/1000)*0.902</f>
        <v>67.600532402942406</v>
      </c>
      <c r="E10" s="33">
        <f>C32*'E Balans VL '!I20/100/3.6*1000000</f>
        <v>0.73926298424737236</v>
      </c>
      <c r="F10" s="33">
        <f>C32*'E Balans VL '!L20/100/3.6*1000000+C32*'E Balans VL '!N20/100/3.6*1000000</f>
        <v>22.2182704680116</v>
      </c>
      <c r="G10" s="34"/>
      <c r="H10" s="33"/>
      <c r="I10" s="33"/>
      <c r="J10" s="40">
        <f>C32*'E Balans VL '!D20/100/3.6*1000000+C32*'E Balans VL '!E20/100/3.6*1000000</f>
        <v>0</v>
      </c>
      <c r="K10" s="33"/>
      <c r="L10" s="33"/>
      <c r="M10" s="33"/>
      <c r="N10" s="33">
        <f>C32*'E Balans VL '!Y20/100/3.6*1000000</f>
        <v>24.115370940769562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75361.298867555699</v>
      </c>
      <c r="C13" s="33"/>
      <c r="D13" s="37">
        <f>IF( ISERROR(IND_papier_gas_kWh/1000),0,IND_papier_gas_kWh/1000)*0.902</f>
        <v>87.057326915943662</v>
      </c>
      <c r="E13" s="33">
        <f>C35*'E Balans VL '!I23/100/3.6*1000000</f>
        <v>106.92044809780546</v>
      </c>
      <c r="F13" s="33">
        <f>C35*'E Balans VL '!L23/100/3.6*1000000+C35*'E Balans VL '!N23/100/3.6*1000000</f>
        <v>1839.8526821113257</v>
      </c>
      <c r="G13" s="34"/>
      <c r="H13" s="33"/>
      <c r="I13" s="33"/>
      <c r="J13" s="40">
        <f>C35*'E Balans VL '!D23/100/3.6*1000000+C35*'E Balans VL '!E23/100/3.6*1000000</f>
        <v>11.655332404856638</v>
      </c>
      <c r="K13" s="33"/>
      <c r="L13" s="33"/>
      <c r="M13" s="33"/>
      <c r="N13" s="33">
        <f>C35*'E Balans VL '!Y23/100/3.6*1000000</f>
        <v>219057.45656322612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8950.5248371840098</v>
      </c>
      <c r="C15" s="33"/>
      <c r="D15" s="37">
        <f>IF( ISERROR(IND_rest_gas_kWh/1000),0,IND_rest_gas_kWh/1000)*0.902</f>
        <v>380443.73820512393</v>
      </c>
      <c r="E15" s="33">
        <f>C37*'E Balans VL '!I15/100/3.6*1000000</f>
        <v>494.21165368976534</v>
      </c>
      <c r="F15" s="33">
        <f>C37*'E Balans VL '!L15/100/3.6*1000000+C37*'E Balans VL '!N15/100/3.6*1000000</f>
        <v>1772.8310764629041</v>
      </c>
      <c r="G15" s="34"/>
      <c r="H15" s="33"/>
      <c r="I15" s="33"/>
      <c r="J15" s="40">
        <f>C37*'E Balans VL '!D15/100/3.6*1000000+C37*'E Balans VL '!E15/100/3.6*1000000</f>
        <v>32.042708717270152</v>
      </c>
      <c r="K15" s="33"/>
      <c r="L15" s="33"/>
      <c r="M15" s="33"/>
      <c r="N15" s="33">
        <f>C37*'E Balans VL '!Y15/100/3.6*1000000</f>
        <v>2007.7432137241944</v>
      </c>
      <c r="O15" s="33"/>
      <c r="P15" s="33"/>
      <c r="R15" s="32"/>
    </row>
    <row r="16" spans="1:18">
      <c r="A16" s="16" t="s">
        <v>488</v>
      </c>
      <c r="B16" s="247">
        <f>'lokale energieproductie'!N90+'lokale energieproductie'!N59</f>
        <v>7020</v>
      </c>
      <c r="C16" s="247">
        <f>'lokale energieproductie'!O90+'lokale energieproductie'!O59</f>
        <v>10028.571428571429</v>
      </c>
      <c r="D16" s="310">
        <f>('lokale energieproductie'!P59+'lokale energieproductie'!P90)*(-1)</f>
        <v>-20057.142857142859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92850.427772622003</v>
      </c>
      <c r="C18" s="21">
        <f>C5+C16</f>
        <v>10028.571428571429</v>
      </c>
      <c r="D18" s="21">
        <f>MAX((D5+D16),0)</f>
        <v>361745.74146906787</v>
      </c>
      <c r="E18" s="21">
        <f>MAX((E5+E16),0)</f>
        <v>805.81376098164969</v>
      </c>
      <c r="F18" s="21">
        <f>MAX((F5+F16),0)</f>
        <v>4228.8743512448282</v>
      </c>
      <c r="G18" s="21"/>
      <c r="H18" s="21"/>
      <c r="I18" s="21"/>
      <c r="J18" s="21">
        <f>MAX((J5+J16),0)</f>
        <v>43.698041122126789</v>
      </c>
      <c r="K18" s="21"/>
      <c r="L18" s="21">
        <f>MAX((L5+L16),0)</f>
        <v>0</v>
      </c>
      <c r="M18" s="21"/>
      <c r="N18" s="21">
        <f>MAX((N5+N16),0)</f>
        <v>221321.72204971543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0.21956392959342802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20386.60478618765</v>
      </c>
      <c r="C22" s="23">
        <f ca="1">C18*C20</f>
        <v>2383.2605042016812</v>
      </c>
      <c r="D22" s="23">
        <f>D18*D20</f>
        <v>73072.639776751719</v>
      </c>
      <c r="E22" s="23">
        <f>E18*E20</f>
        <v>182.91972374283449</v>
      </c>
      <c r="F22" s="23">
        <f>F18*F20</f>
        <v>1129.1094517823692</v>
      </c>
      <c r="G22" s="23"/>
      <c r="H22" s="23"/>
      <c r="I22" s="23"/>
      <c r="J22" s="23">
        <f>J18*J20</f>
        <v>15.469106557232882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486.797095596823</v>
      </c>
      <c r="C30" s="39">
        <f>IF(ISERROR(B30*3.6/1000000/'E Balans VL '!Z18*100),0,B30*3.6/1000000/'E Balans VL '!Z18*100)</f>
        <v>2.7588039636865312E-2</v>
      </c>
      <c r="D30" s="237" t="s">
        <v>754</v>
      </c>
    </row>
    <row r="31" spans="1:18">
      <c r="A31" s="6" t="s">
        <v>33</v>
      </c>
      <c r="B31" s="37">
        <f>IF( ISERROR(IND_ander_ele_kWh/1000),0,IND_ander_ele_kWh/1000)</f>
        <v>682.35882008050601</v>
      </c>
      <c r="C31" s="39">
        <f>IF(ISERROR(B31*3.6/1000000/'E Balans VL '!Z19*100),0,B31*3.6/1000000/'E Balans VL '!Z19*100)</f>
        <v>3.094895478617677E-2</v>
      </c>
      <c r="D31" s="237" t="s">
        <v>754</v>
      </c>
    </row>
    <row r="32" spans="1:18">
      <c r="A32" s="171" t="s">
        <v>41</v>
      </c>
      <c r="B32" s="37">
        <f>IF( ISERROR(IND_voed_ele_kWh/1000),0,IND_voed_ele_kWh/1000)</f>
        <v>349.44815220496298</v>
      </c>
      <c r="C32" s="39">
        <f>IF(ISERROR(B32*3.6/1000000/'E Balans VL '!Z20*100),0,B32*3.6/1000000/'E Balans VL '!Z20*100)</f>
        <v>1.081001770836537E-2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75361.298867555699</v>
      </c>
      <c r="C35" s="39">
        <f>IF(ISERROR(B35*3.6/1000000/'E Balans VL '!Z22*100),0,B35*3.6/1000000/'E Balans VL '!Z22*100)</f>
        <v>13.555146420827699</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8950.5248371840098</v>
      </c>
      <c r="C37" s="39">
        <f>IF(ISERROR(B37*3.6/1000000/'E Balans VL '!Z15*100),0,B37*3.6/1000000/'E Balans VL '!Z15*100)</f>
        <v>7.0943901624603026E-2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10586.523697986144</v>
      </c>
      <c r="C5" s="17">
        <f>'Eigen informatie GS &amp; warmtenet'!B60</f>
        <v>0</v>
      </c>
      <c r="D5" s="30">
        <f>IF(ISERROR(SUM(LB_lb_gas_kWh,LB_rest_gas_kWh)/1000),0,SUM(LB_lb_gas_kWh,LB_rest_gas_kWh)/1000)*0.902</f>
        <v>287014.42932662665</v>
      </c>
      <c r="E5" s="17">
        <f>B17*'E Balans VL '!I25/3.6*1000000/100</f>
        <v>311.17026645933782</v>
      </c>
      <c r="F5" s="17">
        <f>B17*('E Balans VL '!L25/3.6*1000000+'E Balans VL '!N25/3.6*1000000)/100</f>
        <v>44102.885660096035</v>
      </c>
      <c r="G5" s="18"/>
      <c r="H5" s="17"/>
      <c r="I5" s="17"/>
      <c r="J5" s="17">
        <f>('E Balans VL '!D25+'E Balans VL '!E25)/3.6*1000000*landbouw!B17/100</f>
        <v>1533.7599356393489</v>
      </c>
      <c r="K5" s="17"/>
      <c r="L5" s="17">
        <f>L6*(-1)</f>
        <v>0</v>
      </c>
      <c r="M5" s="17"/>
      <c r="N5" s="17">
        <f>N6*(-1)</f>
        <v>0</v>
      </c>
      <c r="O5" s="17"/>
      <c r="P5" s="17"/>
      <c r="R5" s="32"/>
    </row>
    <row r="6" spans="1:18">
      <c r="A6" s="16" t="s">
        <v>488</v>
      </c>
      <c r="B6" s="17" t="s">
        <v>211</v>
      </c>
      <c r="C6" s="17">
        <f>'lokale energieproductie'!O92+'lokale energieproductie'!O61</f>
        <v>118576.55357142857</v>
      </c>
      <c r="D6" s="310">
        <f>('lokale energieproductie'!P61+'lokale energieproductie'!P92)*(-1)</f>
        <v>-238910.35714285716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10586.523697986144</v>
      </c>
      <c r="C8" s="21">
        <f>C5+C6</f>
        <v>118576.55357142857</v>
      </c>
      <c r="D8" s="21">
        <f>MAX((D5+D6),0)</f>
        <v>48104.072183769487</v>
      </c>
      <c r="E8" s="21">
        <f>MAX((E5+E6),0)</f>
        <v>311.17026645933782</v>
      </c>
      <c r="F8" s="21">
        <f>MAX((F5+F6),0)</f>
        <v>44102.885660096035</v>
      </c>
      <c r="G8" s="21"/>
      <c r="H8" s="21"/>
      <c r="I8" s="21"/>
      <c r="J8" s="21">
        <f>MAX((J5+J6),0)</f>
        <v>1533.7599356393489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0.21956392959342802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2324.4187438637869</v>
      </c>
      <c r="C12" s="23">
        <f ca="1">C8*C10</f>
        <v>28179.369201680674</v>
      </c>
      <c r="D12" s="23">
        <f>D8*D10</f>
        <v>9717.0225811214368</v>
      </c>
      <c r="E12" s="23">
        <f>E8*E10</f>
        <v>70.635650486269682</v>
      </c>
      <c r="F12" s="23">
        <f>F8*F10</f>
        <v>11775.470471245642</v>
      </c>
      <c r="G12" s="23"/>
      <c r="H12" s="23"/>
      <c r="I12" s="23"/>
      <c r="J12" s="23">
        <f>J8*J10</f>
        <v>542.95101721632943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1.5022609269494065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47.546444185203796</v>
      </c>
      <c r="C26" s="247">
        <f>B26*'GWP N2O_CH4'!B5</f>
        <v>998.4753278892797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6.3401382890042033</v>
      </c>
      <c r="C27" s="247">
        <f>B27*'GWP N2O_CH4'!B5</f>
        <v>133.14290406908827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0.56612789138969444</v>
      </c>
      <c r="C28" s="247">
        <f>B28*'GWP N2O_CH4'!B4</f>
        <v>175.49964633080526</v>
      </c>
      <c r="D28" s="50"/>
    </row>
    <row r="29" spans="1:4">
      <c r="A29" s="41" t="s">
        <v>277</v>
      </c>
      <c r="B29" s="247">
        <f>B34*'ha_N2O bodem landbouw'!B4</f>
        <v>4.6234645424023801</v>
      </c>
      <c r="C29" s="247">
        <f>B29*'GWP N2O_CH4'!B4</f>
        <v>1433.2740081447378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1.0550586754085899E-3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9.2600141031339603E-5</v>
      </c>
      <c r="C5" s="463" t="s">
        <v>211</v>
      </c>
      <c r="D5" s="448">
        <f>SUM(D6:D11)</f>
        <v>2.9913590215855767E-4</v>
      </c>
      <c r="E5" s="448">
        <f>SUM(E6:E11)</f>
        <v>4.0372867912873991E-4</v>
      </c>
      <c r="F5" s="461" t="s">
        <v>211</v>
      </c>
      <c r="G5" s="448">
        <f>SUM(G6:G11)</f>
        <v>0.15699831065118017</v>
      </c>
      <c r="H5" s="448">
        <f>SUM(H6:H11)</f>
        <v>3.3882692941956789E-2</v>
      </c>
      <c r="I5" s="463" t="s">
        <v>211</v>
      </c>
      <c r="J5" s="463" t="s">
        <v>211</v>
      </c>
      <c r="K5" s="463" t="s">
        <v>211</v>
      </c>
      <c r="L5" s="463" t="s">
        <v>211</v>
      </c>
      <c r="M5" s="448">
        <f>SUM(M6:M11)</f>
        <v>1.0172244462473022E-2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8.3434583425701008E-5</v>
      </c>
      <c r="C6" s="449"/>
      <c r="D6" s="892">
        <f>vkm_2011_GW_PW*SUMIFS(TableVerdeelsleutelVkm[CNG],TableVerdeelsleutelVkm[Voertuigtype],"Lichte voertuigen")*SUMIFS(TableECFTransport[EnergieConsumptieFactor (PJ per km)],TableECFTransport[Index],CONCATENATE($A6,"_CNG_CNG"))</f>
        <v>2.5025586318207417E-4</v>
      </c>
      <c r="E6" s="892">
        <f>vkm_2011_GW_PW*SUMIFS(TableVerdeelsleutelVkm[LPG],TableVerdeelsleutelVkm[Voertuigtype],"Lichte voertuigen")*SUMIFS(TableECFTransport[EnergieConsumptieFactor (PJ per km)],TableECFTransport[Index],CONCATENATE($A6,"_LPG_LPG"))</f>
        <v>3.4188545658988634E-4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8.8395906801225319E-2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2.8463724858910546E-2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6.0041621249793337E-3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5.0554865946477012E-2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1.5408095860390371E-5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2.9542558034757979E-3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9.1655576056385911E-6</v>
      </c>
      <c r="C8" s="449"/>
      <c r="D8" s="451">
        <f>vkm_2011_NGW_PW*SUMIFS(TableVerdeelsleutelVkm[CNG],TableVerdeelsleutelVkm[Voertuigtype],"Lichte voertuigen")*SUMIFS(TableECFTransport[EnergieConsumptieFactor (PJ per km)],TableECFTransport[Index],CONCATENATE($A8,"_CNG_CNG"))</f>
        <v>4.8880038976483526E-5</v>
      </c>
      <c r="E8" s="451">
        <f>vkm_2011_NGW_PW*SUMIFS(TableVerdeelsleutelVkm[LPG],TableVerdeelsleutelVkm[Voertuigtype],"Lichte voertuigen")*SUMIFS(TableECFTransport[EnergieConsumptieFactor (PJ per km)],TableECFTransport[Index],CONCATENATE($A8,"_LPG_LPG"))</f>
        <v>6.1843222538853594E-5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1.4900822626386293E-2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5.4026571199171326E-3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1.0299447666174666E-3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3.1467152770915489E-3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9.0286726872196168E-7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1.8388176740042247E-4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25.722261397594334</v>
      </c>
      <c r="C14" s="21"/>
      <c r="D14" s="21">
        <f t="shared" ref="D14:M14" si="0">((D5)*10^9/3600)+D12</f>
        <v>83.093306155154906</v>
      </c>
      <c r="E14" s="21">
        <f t="shared" si="0"/>
        <v>112.14685531353886</v>
      </c>
      <c r="F14" s="21"/>
      <c r="G14" s="21">
        <f t="shared" si="0"/>
        <v>43610.641847550047</v>
      </c>
      <c r="H14" s="21">
        <f t="shared" si="0"/>
        <v>9411.8591505435525</v>
      </c>
      <c r="I14" s="21"/>
      <c r="J14" s="21"/>
      <c r="K14" s="21"/>
      <c r="L14" s="21"/>
      <c r="M14" s="21">
        <f t="shared" si="0"/>
        <v>2825.6234617980617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0.21956392959342802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5.647680790485154</v>
      </c>
      <c r="C18" s="23"/>
      <c r="D18" s="23">
        <f t="shared" ref="D18:M18" si="1">D14*D16</f>
        <v>16.784847843341293</v>
      </c>
      <c r="E18" s="23">
        <f t="shared" si="1"/>
        <v>25.457336156173323</v>
      </c>
      <c r="F18" s="23"/>
      <c r="G18" s="23">
        <f t="shared" si="1"/>
        <v>11644.041373295862</v>
      </c>
      <c r="H18" s="23">
        <f t="shared" si="1"/>
        <v>2343.5529284853446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4.5872707214406174E-3</v>
      </c>
      <c r="H50" s="321">
        <f t="shared" si="2"/>
        <v>0</v>
      </c>
      <c r="I50" s="321">
        <f t="shared" si="2"/>
        <v>0</v>
      </c>
      <c r="J50" s="321">
        <f t="shared" si="2"/>
        <v>0</v>
      </c>
      <c r="K50" s="321">
        <f t="shared" si="2"/>
        <v>0</v>
      </c>
      <c r="L50" s="321">
        <f t="shared" si="2"/>
        <v>0</v>
      </c>
      <c r="M50" s="321">
        <f t="shared" si="2"/>
        <v>2.6053672612083052E-4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4.5872707214406174E-3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2.6053672612083052E-4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1274.241867066838</v>
      </c>
      <c r="H54" s="21">
        <f t="shared" si="3"/>
        <v>0</v>
      </c>
      <c r="I54" s="21">
        <f t="shared" si="3"/>
        <v>0</v>
      </c>
      <c r="J54" s="21">
        <f t="shared" si="3"/>
        <v>0</v>
      </c>
      <c r="K54" s="21">
        <f t="shared" si="3"/>
        <v>0</v>
      </c>
      <c r="L54" s="21">
        <f t="shared" si="3"/>
        <v>0</v>
      </c>
      <c r="M54" s="21">
        <f t="shared" si="3"/>
        <v>72.371312811341809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0.21956392959342802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340.22257850684576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36266.246736014851</v>
      </c>
      <c r="D10" s="1013">
        <f ca="1">tertiair!C16</f>
        <v>0</v>
      </c>
      <c r="E10" s="1013">
        <f ca="1">tertiair!D16</f>
        <v>38903.475789375821</v>
      </c>
      <c r="F10" s="1013">
        <f>tertiair!E16</f>
        <v>210.25410951165753</v>
      </c>
      <c r="G10" s="1013">
        <f ca="1">tertiair!F16</f>
        <v>7244.1919565613234</v>
      </c>
      <c r="H10" s="1013">
        <f>tertiair!G16</f>
        <v>0</v>
      </c>
      <c r="I10" s="1013">
        <f>tertiair!H16</f>
        <v>0</v>
      </c>
      <c r="J10" s="1013">
        <f>tertiair!I16</f>
        <v>0</v>
      </c>
      <c r="K10" s="1013">
        <f>tertiair!J16</f>
        <v>0.35950215176275924</v>
      </c>
      <c r="L10" s="1013">
        <f>tertiair!K16</f>
        <v>0</v>
      </c>
      <c r="M10" s="1013">
        <f ca="1">tertiair!L16</f>
        <v>0</v>
      </c>
      <c r="N10" s="1013">
        <f>tertiair!M16</f>
        <v>0</v>
      </c>
      <c r="O10" s="1013">
        <f ca="1">tertiair!N16</f>
        <v>14193.320309322169</v>
      </c>
      <c r="P10" s="1013">
        <f>tertiair!O16</f>
        <v>3.1266666666666669</v>
      </c>
      <c r="Q10" s="1014">
        <f>tertiair!P16</f>
        <v>0</v>
      </c>
      <c r="R10" s="700">
        <f ca="1">SUM(C10:Q10)</f>
        <v>96820.975069604261</v>
      </c>
      <c r="S10" s="67"/>
    </row>
    <row r="11" spans="1:19" s="473" customFormat="1">
      <c r="A11" s="809" t="s">
        <v>225</v>
      </c>
      <c r="B11" s="814"/>
      <c r="C11" s="1013">
        <f>huishoudens!B8</f>
        <v>28234.375387486198</v>
      </c>
      <c r="D11" s="1013">
        <f>huishoudens!C8</f>
        <v>0</v>
      </c>
      <c r="E11" s="1013">
        <f>huishoudens!D8</f>
        <v>80584.529107731505</v>
      </c>
      <c r="F11" s="1013">
        <f>huishoudens!E8</f>
        <v>1391.5519856303758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9484.6672487546912</v>
      </c>
      <c r="P11" s="1013">
        <f>huishoudens!O8</f>
        <v>262.64000000000004</v>
      </c>
      <c r="Q11" s="1014">
        <f>huishoudens!P8</f>
        <v>896.13333333333333</v>
      </c>
      <c r="R11" s="700">
        <f>SUM(C11:Q11)</f>
        <v>120853.8970629361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92850.427772622003</v>
      </c>
      <c r="D13" s="1013">
        <f>industrie!C18</f>
        <v>10028.571428571429</v>
      </c>
      <c r="E13" s="1013">
        <f>industrie!D18</f>
        <v>361745.74146906787</v>
      </c>
      <c r="F13" s="1013">
        <f>industrie!E18</f>
        <v>805.81376098164969</v>
      </c>
      <c r="G13" s="1013">
        <f>industrie!F18</f>
        <v>4228.8743512448282</v>
      </c>
      <c r="H13" s="1013">
        <f>industrie!G18</f>
        <v>0</v>
      </c>
      <c r="I13" s="1013">
        <f>industrie!H18</f>
        <v>0</v>
      </c>
      <c r="J13" s="1013">
        <f>industrie!I18</f>
        <v>0</v>
      </c>
      <c r="K13" s="1013">
        <f>industrie!J18</f>
        <v>43.698041122126789</v>
      </c>
      <c r="L13" s="1013">
        <f>industrie!K18</f>
        <v>0</v>
      </c>
      <c r="M13" s="1013">
        <f>industrie!L18</f>
        <v>0</v>
      </c>
      <c r="N13" s="1013">
        <f>industrie!M18</f>
        <v>0</v>
      </c>
      <c r="O13" s="1013">
        <f>industrie!N18</f>
        <v>221321.72204971543</v>
      </c>
      <c r="P13" s="1013">
        <f>industrie!O18</f>
        <v>0</v>
      </c>
      <c r="Q13" s="1014">
        <f>industrie!P18</f>
        <v>0</v>
      </c>
      <c r="R13" s="700">
        <f>SUM(C13:Q13)</f>
        <v>691024.84887332539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157351.04989612306</v>
      </c>
      <c r="D16" s="732">
        <f t="shared" ref="D16:R16" ca="1" si="0">SUM(D9:D15)</f>
        <v>10028.571428571429</v>
      </c>
      <c r="E16" s="732">
        <f t="shared" ca="1" si="0"/>
        <v>481233.74636617518</v>
      </c>
      <c r="F16" s="732">
        <f t="shared" si="0"/>
        <v>2407.6198561236833</v>
      </c>
      <c r="G16" s="732">
        <f t="shared" ca="1" si="0"/>
        <v>11473.066307806152</v>
      </c>
      <c r="H16" s="732">
        <f t="shared" si="0"/>
        <v>0</v>
      </c>
      <c r="I16" s="732">
        <f t="shared" si="0"/>
        <v>0</v>
      </c>
      <c r="J16" s="732">
        <f t="shared" si="0"/>
        <v>0</v>
      </c>
      <c r="K16" s="732">
        <f t="shared" si="0"/>
        <v>44.05754327388955</v>
      </c>
      <c r="L16" s="732">
        <f t="shared" si="0"/>
        <v>0</v>
      </c>
      <c r="M16" s="732">
        <f t="shared" ca="1" si="0"/>
        <v>0</v>
      </c>
      <c r="N16" s="732">
        <f t="shared" si="0"/>
        <v>0</v>
      </c>
      <c r="O16" s="732">
        <f t="shared" ca="1" si="0"/>
        <v>244999.70960779229</v>
      </c>
      <c r="P16" s="732">
        <f t="shared" si="0"/>
        <v>265.76666666666671</v>
      </c>
      <c r="Q16" s="732">
        <f t="shared" si="0"/>
        <v>896.13333333333333</v>
      </c>
      <c r="R16" s="732">
        <f t="shared" ca="1" si="0"/>
        <v>908699.72100586572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1274.241867066838</v>
      </c>
      <c r="I19" s="1013">
        <f>transport!H54</f>
        <v>0</v>
      </c>
      <c r="J19" s="1013">
        <f>transport!I54</f>
        <v>0</v>
      </c>
      <c r="K19" s="1013">
        <f>transport!J54</f>
        <v>0</v>
      </c>
      <c r="L19" s="1013">
        <f>transport!K54</f>
        <v>0</v>
      </c>
      <c r="M19" s="1013">
        <f>transport!L54</f>
        <v>0</v>
      </c>
      <c r="N19" s="1013">
        <f>transport!M54</f>
        <v>72.371312811341809</v>
      </c>
      <c r="O19" s="1013">
        <f>transport!N54</f>
        <v>0</v>
      </c>
      <c r="P19" s="1013">
        <f>transport!O54</f>
        <v>0</v>
      </c>
      <c r="Q19" s="1014">
        <f>transport!P54</f>
        <v>0</v>
      </c>
      <c r="R19" s="700">
        <f>SUM(C19:Q19)</f>
        <v>1346.6131798781798</v>
      </c>
      <c r="S19" s="67"/>
    </row>
    <row r="20" spans="1:19" s="473" customFormat="1">
      <c r="A20" s="809" t="s">
        <v>307</v>
      </c>
      <c r="B20" s="814"/>
      <c r="C20" s="1013">
        <f>transport!B14</f>
        <v>25.722261397594334</v>
      </c>
      <c r="D20" s="1013">
        <f>transport!C14</f>
        <v>0</v>
      </c>
      <c r="E20" s="1013">
        <f>transport!D14</f>
        <v>83.093306155154906</v>
      </c>
      <c r="F20" s="1013">
        <f>transport!E14</f>
        <v>112.14685531353886</v>
      </c>
      <c r="G20" s="1013">
        <f>transport!F14</f>
        <v>0</v>
      </c>
      <c r="H20" s="1013">
        <f>transport!G14</f>
        <v>43610.641847550047</v>
      </c>
      <c r="I20" s="1013">
        <f>transport!H14</f>
        <v>9411.8591505435525</v>
      </c>
      <c r="J20" s="1013">
        <f>transport!I14</f>
        <v>0</v>
      </c>
      <c r="K20" s="1013">
        <f>transport!J14</f>
        <v>0</v>
      </c>
      <c r="L20" s="1013">
        <f>transport!K14</f>
        <v>0</v>
      </c>
      <c r="M20" s="1013">
        <f>transport!L14</f>
        <v>0</v>
      </c>
      <c r="N20" s="1013">
        <f>transport!M14</f>
        <v>2825.6234617980617</v>
      </c>
      <c r="O20" s="1013">
        <f>transport!N14</f>
        <v>0</v>
      </c>
      <c r="P20" s="1013">
        <f>transport!O14</f>
        <v>0</v>
      </c>
      <c r="Q20" s="1014">
        <f>transport!P14</f>
        <v>0</v>
      </c>
      <c r="R20" s="700">
        <f>SUM(C20:Q20)</f>
        <v>56069.086882757947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25.722261397594334</v>
      </c>
      <c r="D22" s="812">
        <f t="shared" ref="D22:R22" si="1">SUM(D18:D21)</f>
        <v>0</v>
      </c>
      <c r="E22" s="812">
        <f t="shared" si="1"/>
        <v>83.093306155154906</v>
      </c>
      <c r="F22" s="812">
        <f t="shared" si="1"/>
        <v>112.14685531353886</v>
      </c>
      <c r="G22" s="812">
        <f t="shared" si="1"/>
        <v>0</v>
      </c>
      <c r="H22" s="812">
        <f t="shared" si="1"/>
        <v>44884.883714616888</v>
      </c>
      <c r="I22" s="812">
        <f t="shared" si="1"/>
        <v>9411.8591505435525</v>
      </c>
      <c r="J22" s="812">
        <f t="shared" si="1"/>
        <v>0</v>
      </c>
      <c r="K22" s="812">
        <f t="shared" si="1"/>
        <v>0</v>
      </c>
      <c r="L22" s="812">
        <f t="shared" si="1"/>
        <v>0</v>
      </c>
      <c r="M22" s="812">
        <f t="shared" si="1"/>
        <v>0</v>
      </c>
      <c r="N22" s="812">
        <f t="shared" si="1"/>
        <v>2897.9947746094035</v>
      </c>
      <c r="O22" s="812">
        <f t="shared" si="1"/>
        <v>0</v>
      </c>
      <c r="P22" s="812">
        <f t="shared" si="1"/>
        <v>0</v>
      </c>
      <c r="Q22" s="812">
        <f t="shared" si="1"/>
        <v>0</v>
      </c>
      <c r="R22" s="812">
        <f t="shared" si="1"/>
        <v>57415.700062636126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10586.523697986144</v>
      </c>
      <c r="D24" s="1013">
        <f>+landbouw!C8</f>
        <v>118576.55357142857</v>
      </c>
      <c r="E24" s="1013">
        <f>+landbouw!D8</f>
        <v>48104.072183769487</v>
      </c>
      <c r="F24" s="1013">
        <f>+landbouw!E8</f>
        <v>311.17026645933782</v>
      </c>
      <c r="G24" s="1013">
        <f>+landbouw!F8</f>
        <v>44102.885660096035</v>
      </c>
      <c r="H24" s="1013">
        <f>+landbouw!G8</f>
        <v>0</v>
      </c>
      <c r="I24" s="1013">
        <f>+landbouw!H8</f>
        <v>0</v>
      </c>
      <c r="J24" s="1013">
        <f>+landbouw!I8</f>
        <v>0</v>
      </c>
      <c r="K24" s="1013">
        <f>+landbouw!J8</f>
        <v>1533.7599356393489</v>
      </c>
      <c r="L24" s="1013">
        <f>+landbouw!K8</f>
        <v>0</v>
      </c>
      <c r="M24" s="1013">
        <f>+landbouw!L8</f>
        <v>0</v>
      </c>
      <c r="N24" s="1013">
        <f>+landbouw!M8</f>
        <v>0</v>
      </c>
      <c r="O24" s="1013">
        <f>+landbouw!N8</f>
        <v>0</v>
      </c>
      <c r="P24" s="1013">
        <f>+landbouw!O8</f>
        <v>0</v>
      </c>
      <c r="Q24" s="1014">
        <f>+landbouw!P8</f>
        <v>0</v>
      </c>
      <c r="R24" s="700">
        <f>SUM(C24:Q24)</f>
        <v>223214.96531537894</v>
      </c>
      <c r="S24" s="67"/>
    </row>
    <row r="25" spans="1:19" s="473" customFormat="1" ht="15" thickBot="1">
      <c r="A25" s="831" t="s">
        <v>836</v>
      </c>
      <c r="B25" s="1016"/>
      <c r="C25" s="1017">
        <f>IF(Onbekend_ele_kWh="---",0,Onbekend_ele_kWh)/1000+IF(REST_rest_ele_kWh="---",0,REST_rest_ele_kWh)/1000</f>
        <v>1099.63691114785</v>
      </c>
      <c r="D25" s="1017"/>
      <c r="E25" s="1017">
        <f>IF(onbekend_gas_kWh="---",0,onbekend_gas_kWh)/1000+IF(REST_rest_gas_kWh="---",0,REST_rest_gas_kWh)/1000</f>
        <v>2706.6534228355299</v>
      </c>
      <c r="F25" s="1017"/>
      <c r="G25" s="1017"/>
      <c r="H25" s="1017"/>
      <c r="I25" s="1017"/>
      <c r="J25" s="1017"/>
      <c r="K25" s="1017"/>
      <c r="L25" s="1017"/>
      <c r="M25" s="1017"/>
      <c r="N25" s="1017"/>
      <c r="O25" s="1017"/>
      <c r="P25" s="1017"/>
      <c r="Q25" s="1018"/>
      <c r="R25" s="700">
        <f>SUM(C25:Q25)</f>
        <v>3806.2903339833802</v>
      </c>
      <c r="S25" s="67"/>
    </row>
    <row r="26" spans="1:19" s="473" customFormat="1" ht="15.75" thickBot="1">
      <c r="A26" s="705" t="s">
        <v>837</v>
      </c>
      <c r="B26" s="817"/>
      <c r="C26" s="812">
        <f>SUM(C24:C25)</f>
        <v>11686.160609133995</v>
      </c>
      <c r="D26" s="812">
        <f t="shared" ref="D26:R26" si="2">SUM(D24:D25)</f>
        <v>118576.55357142857</v>
      </c>
      <c r="E26" s="812">
        <f t="shared" si="2"/>
        <v>50810.725606605018</v>
      </c>
      <c r="F26" s="812">
        <f t="shared" si="2"/>
        <v>311.17026645933782</v>
      </c>
      <c r="G26" s="812">
        <f t="shared" si="2"/>
        <v>44102.885660096035</v>
      </c>
      <c r="H26" s="812">
        <f t="shared" si="2"/>
        <v>0</v>
      </c>
      <c r="I26" s="812">
        <f t="shared" si="2"/>
        <v>0</v>
      </c>
      <c r="J26" s="812">
        <f t="shared" si="2"/>
        <v>0</v>
      </c>
      <c r="K26" s="812">
        <f t="shared" si="2"/>
        <v>1533.7599356393489</v>
      </c>
      <c r="L26" s="812">
        <f t="shared" si="2"/>
        <v>0</v>
      </c>
      <c r="M26" s="812">
        <f t="shared" si="2"/>
        <v>0</v>
      </c>
      <c r="N26" s="812">
        <f t="shared" si="2"/>
        <v>0</v>
      </c>
      <c r="O26" s="812">
        <f t="shared" si="2"/>
        <v>0</v>
      </c>
      <c r="P26" s="812">
        <f t="shared" si="2"/>
        <v>0</v>
      </c>
      <c r="Q26" s="812">
        <f t="shared" si="2"/>
        <v>0</v>
      </c>
      <c r="R26" s="812">
        <f t="shared" si="2"/>
        <v>227021.25564936231</v>
      </c>
      <c r="S26" s="67"/>
    </row>
    <row r="27" spans="1:19" s="473" customFormat="1" ht="17.25" thickTop="1" thickBot="1">
      <c r="A27" s="706" t="s">
        <v>116</v>
      </c>
      <c r="B27" s="805"/>
      <c r="C27" s="707">
        <f ca="1">C22+C16+C26</f>
        <v>169062.93276665467</v>
      </c>
      <c r="D27" s="707">
        <f t="shared" ref="D27:R27" ca="1" si="3">D22+D16+D26</f>
        <v>128605.125</v>
      </c>
      <c r="E27" s="707">
        <f t="shared" ca="1" si="3"/>
        <v>532127.56527893536</v>
      </c>
      <c r="F27" s="707">
        <f t="shared" si="3"/>
        <v>2830.9369778965597</v>
      </c>
      <c r="G27" s="707">
        <f t="shared" ca="1" si="3"/>
        <v>55575.951967902191</v>
      </c>
      <c r="H27" s="707">
        <f t="shared" si="3"/>
        <v>44884.883714616888</v>
      </c>
      <c r="I27" s="707">
        <f t="shared" si="3"/>
        <v>9411.8591505435525</v>
      </c>
      <c r="J27" s="707">
        <f t="shared" si="3"/>
        <v>0</v>
      </c>
      <c r="K27" s="707">
        <f t="shared" si="3"/>
        <v>1577.8174789132383</v>
      </c>
      <c r="L27" s="707">
        <f t="shared" si="3"/>
        <v>0</v>
      </c>
      <c r="M27" s="707">
        <f t="shared" ca="1" si="3"/>
        <v>0</v>
      </c>
      <c r="N27" s="707">
        <f t="shared" si="3"/>
        <v>2897.9947746094035</v>
      </c>
      <c r="O27" s="707">
        <f t="shared" ca="1" si="3"/>
        <v>244999.70960779229</v>
      </c>
      <c r="P27" s="707">
        <f t="shared" si="3"/>
        <v>265.76666666666671</v>
      </c>
      <c r="Q27" s="707">
        <f t="shared" si="3"/>
        <v>896.13333333333333</v>
      </c>
      <c r="R27" s="707">
        <f t="shared" ca="1" si="3"/>
        <v>1193136.6767178641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7962.7596449642533</v>
      </c>
      <c r="D40" s="1013">
        <f ca="1">tertiair!C20</f>
        <v>0</v>
      </c>
      <c r="E40" s="1013">
        <f ca="1">tertiair!D20</f>
        <v>7858.5021094539161</v>
      </c>
      <c r="F40" s="1013">
        <f>tertiair!E20</f>
        <v>47.727682859146263</v>
      </c>
      <c r="G40" s="1013">
        <f ca="1">tertiair!F20</f>
        <v>1934.1992524018735</v>
      </c>
      <c r="H40" s="1013">
        <f>tertiair!G20</f>
        <v>0</v>
      </c>
      <c r="I40" s="1013">
        <f>tertiair!H20</f>
        <v>0</v>
      </c>
      <c r="J40" s="1013">
        <f>tertiair!I20</f>
        <v>0</v>
      </c>
      <c r="K40" s="1013">
        <f>tertiair!J20</f>
        <v>0.12726376172401677</v>
      </c>
      <c r="L40" s="1013">
        <f>tertiair!K20</f>
        <v>0</v>
      </c>
      <c r="M40" s="1013">
        <f ca="1">tertiair!L20</f>
        <v>0</v>
      </c>
      <c r="N40" s="1013">
        <f>tertiair!M20</f>
        <v>0</v>
      </c>
      <c r="O40" s="1013">
        <f ca="1">tertiair!N20</f>
        <v>0</v>
      </c>
      <c r="P40" s="1013">
        <f>tertiair!O20</f>
        <v>0</v>
      </c>
      <c r="Q40" s="774">
        <f>tertiair!P20</f>
        <v>0</v>
      </c>
      <c r="R40" s="850">
        <f t="shared" ca="1" si="4"/>
        <v>17803.315953440917</v>
      </c>
    </row>
    <row r="41" spans="1:18">
      <c r="A41" s="822" t="s">
        <v>225</v>
      </c>
      <c r="B41" s="829"/>
      <c r="C41" s="1013">
        <f ca="1">huishoudens!B12</f>
        <v>6199.2504096924367</v>
      </c>
      <c r="D41" s="1013">
        <f ca="1">huishoudens!C12</f>
        <v>0</v>
      </c>
      <c r="E41" s="1013">
        <f>huishoudens!D12</f>
        <v>16278.074879761765</v>
      </c>
      <c r="F41" s="1013">
        <f>huishoudens!E12</f>
        <v>315.88230073809535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22793.207590192298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20386.60478618765</v>
      </c>
      <c r="D43" s="1013">
        <f ca="1">industrie!C22</f>
        <v>2383.2605042016812</v>
      </c>
      <c r="E43" s="1013">
        <f>industrie!D22</f>
        <v>73072.639776751719</v>
      </c>
      <c r="F43" s="1013">
        <f>industrie!E22</f>
        <v>182.91972374283449</v>
      </c>
      <c r="G43" s="1013">
        <f>industrie!F22</f>
        <v>1129.1094517823692</v>
      </c>
      <c r="H43" s="1013">
        <f>industrie!G22</f>
        <v>0</v>
      </c>
      <c r="I43" s="1013">
        <f>industrie!H22</f>
        <v>0</v>
      </c>
      <c r="J43" s="1013">
        <f>industrie!I22</f>
        <v>0</v>
      </c>
      <c r="K43" s="1013">
        <f>industrie!J22</f>
        <v>15.469106557232882</v>
      </c>
      <c r="L43" s="1013">
        <f>industrie!K22</f>
        <v>0</v>
      </c>
      <c r="M43" s="1013">
        <f>industrie!L22</f>
        <v>0</v>
      </c>
      <c r="N43" s="1013">
        <f>industrie!M22</f>
        <v>0</v>
      </c>
      <c r="O43" s="1013">
        <f>industrie!N22</f>
        <v>0</v>
      </c>
      <c r="P43" s="1013">
        <f>industrie!O22</f>
        <v>0</v>
      </c>
      <c r="Q43" s="774">
        <f>industrie!P22</f>
        <v>0</v>
      </c>
      <c r="R43" s="849">
        <f t="shared" ca="1" si="4"/>
        <v>97170.00334922348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34548.614840844341</v>
      </c>
      <c r="D46" s="732">
        <f t="shared" ref="D46:Q46" ca="1" si="5">SUM(D39:D45)</f>
        <v>2383.2605042016812</v>
      </c>
      <c r="E46" s="732">
        <f t="shared" ca="1" si="5"/>
        <v>97209.216765967401</v>
      </c>
      <c r="F46" s="732">
        <f t="shared" si="5"/>
        <v>546.52970734007613</v>
      </c>
      <c r="G46" s="732">
        <f t="shared" ca="1" si="5"/>
        <v>3063.3087041842427</v>
      </c>
      <c r="H46" s="732">
        <f t="shared" si="5"/>
        <v>0</v>
      </c>
      <c r="I46" s="732">
        <f t="shared" si="5"/>
        <v>0</v>
      </c>
      <c r="J46" s="732">
        <f t="shared" si="5"/>
        <v>0</v>
      </c>
      <c r="K46" s="732">
        <f t="shared" si="5"/>
        <v>15.596370318956899</v>
      </c>
      <c r="L46" s="732">
        <f t="shared" si="5"/>
        <v>0</v>
      </c>
      <c r="M46" s="732">
        <f t="shared" ca="1" si="5"/>
        <v>0</v>
      </c>
      <c r="N46" s="732">
        <f t="shared" si="5"/>
        <v>0</v>
      </c>
      <c r="O46" s="732">
        <f t="shared" ca="1" si="5"/>
        <v>0</v>
      </c>
      <c r="P46" s="732">
        <f t="shared" si="5"/>
        <v>0</v>
      </c>
      <c r="Q46" s="732">
        <f t="shared" si="5"/>
        <v>0</v>
      </c>
      <c r="R46" s="732">
        <f ca="1">SUM(R39:R45)</f>
        <v>137766.52689285669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340.22257850684576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340.22257850684576</v>
      </c>
    </row>
    <row r="50" spans="1:18">
      <c r="A50" s="825" t="s">
        <v>307</v>
      </c>
      <c r="B50" s="835"/>
      <c r="C50" s="703">
        <f ca="1">transport!B18</f>
        <v>5.647680790485154</v>
      </c>
      <c r="D50" s="703">
        <f>transport!C18</f>
        <v>0</v>
      </c>
      <c r="E50" s="703">
        <f>transport!D18</f>
        <v>16.784847843341293</v>
      </c>
      <c r="F50" s="703">
        <f>transport!E18</f>
        <v>25.457336156173323</v>
      </c>
      <c r="G50" s="703">
        <f>transport!F18</f>
        <v>0</v>
      </c>
      <c r="H50" s="703">
        <f>transport!G18</f>
        <v>11644.041373295862</v>
      </c>
      <c r="I50" s="703">
        <f>transport!H18</f>
        <v>2343.5529284853446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14035.484166571208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5.647680790485154</v>
      </c>
      <c r="D52" s="732">
        <f t="shared" ref="D52:Q52" ca="1" si="6">SUM(D48:D51)</f>
        <v>0</v>
      </c>
      <c r="E52" s="732">
        <f t="shared" si="6"/>
        <v>16.784847843341293</v>
      </c>
      <c r="F52" s="732">
        <f t="shared" si="6"/>
        <v>25.457336156173323</v>
      </c>
      <c r="G52" s="732">
        <f t="shared" si="6"/>
        <v>0</v>
      </c>
      <c r="H52" s="732">
        <f t="shared" si="6"/>
        <v>11984.263951802708</v>
      </c>
      <c r="I52" s="732">
        <f t="shared" si="6"/>
        <v>2343.5529284853446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14375.706745078054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2324.4187438637869</v>
      </c>
      <c r="D54" s="703">
        <f ca="1">+landbouw!C12</f>
        <v>28179.369201680674</v>
      </c>
      <c r="E54" s="703">
        <f>+landbouw!D12</f>
        <v>9717.0225811214368</v>
      </c>
      <c r="F54" s="703">
        <f>+landbouw!E12</f>
        <v>70.635650486269682</v>
      </c>
      <c r="G54" s="703">
        <f>+landbouw!F12</f>
        <v>11775.470471245642</v>
      </c>
      <c r="H54" s="703">
        <f>+landbouw!G12</f>
        <v>0</v>
      </c>
      <c r="I54" s="703">
        <f>+landbouw!H12</f>
        <v>0</v>
      </c>
      <c r="J54" s="703">
        <f>+landbouw!I12</f>
        <v>0</v>
      </c>
      <c r="K54" s="703">
        <f>+landbouw!J12</f>
        <v>542.95101721632943</v>
      </c>
      <c r="L54" s="703">
        <f>+landbouw!K12</f>
        <v>0</v>
      </c>
      <c r="M54" s="703">
        <f>+landbouw!L12</f>
        <v>0</v>
      </c>
      <c r="N54" s="703">
        <f>+landbouw!M12</f>
        <v>0</v>
      </c>
      <c r="O54" s="703">
        <f>+landbouw!N12</f>
        <v>0</v>
      </c>
      <c r="P54" s="703">
        <f>+landbouw!O12</f>
        <v>0</v>
      </c>
      <c r="Q54" s="704">
        <f>+landbouw!P12</f>
        <v>0</v>
      </c>
      <c r="R54" s="731">
        <f ca="1">SUM(C54:Q54)</f>
        <v>52609.86766561414</v>
      </c>
    </row>
    <row r="55" spans="1:18" ht="15" thickBot="1">
      <c r="A55" s="825" t="s">
        <v>836</v>
      </c>
      <c r="B55" s="835"/>
      <c r="C55" s="703">
        <f ca="1">C25*'EF ele_warmte'!B12</f>
        <v>241.44060133760121</v>
      </c>
      <c r="D55" s="703"/>
      <c r="E55" s="703">
        <f>E25*EF_CO2_aardgas</f>
        <v>546.74399141277706</v>
      </c>
      <c r="F55" s="703"/>
      <c r="G55" s="703"/>
      <c r="H55" s="703"/>
      <c r="I55" s="703"/>
      <c r="J55" s="703"/>
      <c r="K55" s="703"/>
      <c r="L55" s="703"/>
      <c r="M55" s="703"/>
      <c r="N55" s="703"/>
      <c r="O55" s="703"/>
      <c r="P55" s="703"/>
      <c r="Q55" s="704"/>
      <c r="R55" s="731">
        <f ca="1">SUM(C55:Q55)</f>
        <v>788.18459275037821</v>
      </c>
    </row>
    <row r="56" spans="1:18" ht="15.75" thickBot="1">
      <c r="A56" s="823" t="s">
        <v>837</v>
      </c>
      <c r="B56" s="836"/>
      <c r="C56" s="732">
        <f ca="1">SUM(C54:C55)</f>
        <v>2565.8593452013879</v>
      </c>
      <c r="D56" s="732">
        <f t="shared" ref="D56:Q56" ca="1" si="7">SUM(D54:D55)</f>
        <v>28179.369201680674</v>
      </c>
      <c r="E56" s="732">
        <f t="shared" si="7"/>
        <v>10263.766572534214</v>
      </c>
      <c r="F56" s="732">
        <f t="shared" si="7"/>
        <v>70.635650486269682</v>
      </c>
      <c r="G56" s="732">
        <f t="shared" si="7"/>
        <v>11775.470471245642</v>
      </c>
      <c r="H56" s="732">
        <f t="shared" si="7"/>
        <v>0</v>
      </c>
      <c r="I56" s="732">
        <f t="shared" si="7"/>
        <v>0</v>
      </c>
      <c r="J56" s="732">
        <f t="shared" si="7"/>
        <v>0</v>
      </c>
      <c r="K56" s="732">
        <f t="shared" si="7"/>
        <v>542.95101721632943</v>
      </c>
      <c r="L56" s="732">
        <f t="shared" si="7"/>
        <v>0</v>
      </c>
      <c r="M56" s="732">
        <f t="shared" si="7"/>
        <v>0</v>
      </c>
      <c r="N56" s="732">
        <f t="shared" si="7"/>
        <v>0</v>
      </c>
      <c r="O56" s="732">
        <f t="shared" si="7"/>
        <v>0</v>
      </c>
      <c r="P56" s="732">
        <f t="shared" si="7"/>
        <v>0</v>
      </c>
      <c r="Q56" s="733">
        <f t="shared" si="7"/>
        <v>0</v>
      </c>
      <c r="R56" s="734">
        <f ca="1">SUM(R54:R55)</f>
        <v>53398.052258364522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37120.121866836213</v>
      </c>
      <c r="D61" s="740">
        <f t="shared" ref="D61:Q61" ca="1" si="8">D46+D52+D56</f>
        <v>30562.629705882355</v>
      </c>
      <c r="E61" s="740">
        <f t="shared" ca="1" si="8"/>
        <v>107489.76818634495</v>
      </c>
      <c r="F61" s="740">
        <f t="shared" si="8"/>
        <v>642.62269398251919</v>
      </c>
      <c r="G61" s="740">
        <f t="shared" ca="1" si="8"/>
        <v>14838.779175429885</v>
      </c>
      <c r="H61" s="740">
        <f t="shared" si="8"/>
        <v>11984.263951802708</v>
      </c>
      <c r="I61" s="740">
        <f t="shared" si="8"/>
        <v>2343.5529284853446</v>
      </c>
      <c r="J61" s="740">
        <f t="shared" si="8"/>
        <v>0</v>
      </c>
      <c r="K61" s="740">
        <f t="shared" si="8"/>
        <v>558.54738753528636</v>
      </c>
      <c r="L61" s="740">
        <f t="shared" si="8"/>
        <v>0</v>
      </c>
      <c r="M61" s="740">
        <f t="shared" ca="1" si="8"/>
        <v>0</v>
      </c>
      <c r="N61" s="740">
        <f t="shared" si="8"/>
        <v>0</v>
      </c>
      <c r="O61" s="740">
        <f t="shared" ca="1" si="8"/>
        <v>0</v>
      </c>
      <c r="P61" s="740">
        <f t="shared" si="8"/>
        <v>0</v>
      </c>
      <c r="Q61" s="740">
        <f t="shared" si="8"/>
        <v>0</v>
      </c>
      <c r="R61" s="740">
        <f ca="1">R46+R52+R56</f>
        <v>205540.28589629929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0.21956392959342796</v>
      </c>
      <c r="D63" s="781">
        <f t="shared" ca="1" si="9"/>
        <v>0.23764705882352943</v>
      </c>
      <c r="E63" s="1024">
        <f t="shared" ca="1" si="9"/>
        <v>0.20200000000000001</v>
      </c>
      <c r="F63" s="781">
        <f t="shared" si="9"/>
        <v>0.22700000000000006</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7992.2141118195141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91517.25</v>
      </c>
      <c r="D76" s="1034">
        <f>'lokale energieproductie'!C8</f>
        <v>107667.35294117648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21748.80529411765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7992.2141118195141</v>
      </c>
      <c r="C78" s="755">
        <f>SUM(C72:C77)</f>
        <v>91517.25</v>
      </c>
      <c r="D78" s="756">
        <f t="shared" ref="D78:H78" si="10">SUM(D76:D77)</f>
        <v>107667.35294117648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21748.80529411765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128605.125</v>
      </c>
      <c r="D87" s="777">
        <f>'lokale energieproductie'!C17</f>
        <v>151300.14705882352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30562.629705882355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128605.125</v>
      </c>
      <c r="D90" s="755">
        <f t="shared" ref="D90:H90" si="12">SUM(D87:D89)</f>
        <v>151300.14705882352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30562.629705882355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7992.2141118195141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91517.25</v>
      </c>
      <c r="C8" s="570">
        <f>B101</f>
        <v>107667.35294117648</v>
      </c>
      <c r="D8" s="1044"/>
      <c r="E8" s="1044">
        <f>E101</f>
        <v>0</v>
      </c>
      <c r="F8" s="1045"/>
      <c r="G8" s="571"/>
      <c r="H8" s="1044">
        <f>I101</f>
        <v>0</v>
      </c>
      <c r="I8" s="1044">
        <f>G101+F101</f>
        <v>0</v>
      </c>
      <c r="J8" s="1044">
        <f>H101+D101+C101</f>
        <v>0</v>
      </c>
      <c r="K8" s="1044"/>
      <c r="L8" s="1044"/>
      <c r="M8" s="1044"/>
      <c r="N8" s="572"/>
      <c r="O8" s="573">
        <f>C8*$C$12+D8*$D$12+E8*$E$12+F8*$F$12+G8*$G$12+H8*$H$12+I8*$I$12+J8*$J$12</f>
        <v>21748.80529411765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99509.464111819514</v>
      </c>
      <c r="C10" s="583">
        <f t="shared" ref="C10:L10" si="0">SUM(C8:C9)</f>
        <v>107667.35294117648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21748.80529411765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128605.125</v>
      </c>
      <c r="C17" s="595">
        <f>B102</f>
        <v>151300.14705882352</v>
      </c>
      <c r="D17" s="596"/>
      <c r="E17" s="596">
        <f>E102</f>
        <v>0</v>
      </c>
      <c r="F17" s="1050"/>
      <c r="G17" s="597"/>
      <c r="H17" s="595">
        <f>I102</f>
        <v>0</v>
      </c>
      <c r="I17" s="596">
        <f>G102+F102</f>
        <v>0</v>
      </c>
      <c r="J17" s="596">
        <f>H102+D102+C102</f>
        <v>0</v>
      </c>
      <c r="K17" s="596"/>
      <c r="L17" s="596"/>
      <c r="M17" s="596"/>
      <c r="N17" s="1051"/>
      <c r="O17" s="598">
        <f>C17*$C$22+E17*$E$22+H17*$H$22+I17*$I$22+J17*$J$22+D17*$D$22+F17*$F$22+G17*$G$22+K17*$K$22+L17*$L$22</f>
        <v>30562.629705882355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128605.125</v>
      </c>
      <c r="C20" s="582">
        <f>SUM(C17:C19)</f>
        <v>151300.14705882352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30562.629705882355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12009</v>
      </c>
      <c r="C28" s="796">
        <v>2570</v>
      </c>
      <c r="D28" s="653" t="s">
        <v>881</v>
      </c>
      <c r="E28" s="652" t="s">
        <v>882</v>
      </c>
      <c r="F28" s="652" t="s">
        <v>883</v>
      </c>
      <c r="G28" s="652" t="s">
        <v>884</v>
      </c>
      <c r="H28" s="652" t="s">
        <v>885</v>
      </c>
      <c r="I28" s="652" t="s">
        <v>882</v>
      </c>
      <c r="J28" s="795">
        <v>39142</v>
      </c>
      <c r="K28" s="795">
        <v>39150</v>
      </c>
      <c r="L28" s="652" t="s">
        <v>886</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25.5">
      <c r="A29" s="605"/>
      <c r="B29" s="796">
        <v>12009</v>
      </c>
      <c r="C29" s="796">
        <v>2570</v>
      </c>
      <c r="D29" s="653" t="s">
        <v>887</v>
      </c>
      <c r="E29" s="652" t="s">
        <v>888</v>
      </c>
      <c r="F29" s="652" t="s">
        <v>889</v>
      </c>
      <c r="G29" s="652" t="s">
        <v>884</v>
      </c>
      <c r="H29" s="652" t="s">
        <v>885</v>
      </c>
      <c r="I29" s="652" t="s">
        <v>888</v>
      </c>
      <c r="J29" s="795">
        <v>39241</v>
      </c>
      <c r="K29" s="795">
        <v>39253</v>
      </c>
      <c r="L29" s="652" t="s">
        <v>886</v>
      </c>
      <c r="M29" s="652">
        <v>1147</v>
      </c>
      <c r="N29" s="652">
        <v>5161.5</v>
      </c>
      <c r="O29" s="652">
        <v>7373.5714285714284</v>
      </c>
      <c r="P29" s="652">
        <v>14747.142857142859</v>
      </c>
      <c r="Q29" s="652">
        <v>0</v>
      </c>
      <c r="R29" s="652">
        <v>0</v>
      </c>
      <c r="S29" s="652">
        <v>0</v>
      </c>
      <c r="T29" s="652">
        <v>0</v>
      </c>
      <c r="U29" s="652">
        <v>0</v>
      </c>
      <c r="V29" s="652">
        <v>0</v>
      </c>
      <c r="W29" s="652">
        <v>0</v>
      </c>
      <c r="X29" s="652">
        <v>10</v>
      </c>
      <c r="Y29" s="652" t="s">
        <v>112</v>
      </c>
      <c r="Z29" s="654" t="s">
        <v>112</v>
      </c>
    </row>
    <row r="30" spans="1:26" s="606" customFormat="1" ht="25.5">
      <c r="A30" s="605"/>
      <c r="B30" s="796">
        <v>12009</v>
      </c>
      <c r="C30" s="796">
        <v>2570</v>
      </c>
      <c r="D30" s="653" t="s">
        <v>890</v>
      </c>
      <c r="E30" s="652" t="s">
        <v>891</v>
      </c>
      <c r="F30" s="652" t="s">
        <v>892</v>
      </c>
      <c r="G30" s="652" t="s">
        <v>884</v>
      </c>
      <c r="H30" s="652" t="s">
        <v>885</v>
      </c>
      <c r="I30" s="652" t="s">
        <v>891</v>
      </c>
      <c r="J30" s="795">
        <v>41995</v>
      </c>
      <c r="K30" s="795">
        <v>39261</v>
      </c>
      <c r="L30" s="652" t="s">
        <v>886</v>
      </c>
      <c r="M30" s="652">
        <v>1969</v>
      </c>
      <c r="N30" s="652">
        <v>8860.5</v>
      </c>
      <c r="O30" s="652">
        <v>12657.857142857143</v>
      </c>
      <c r="P30" s="652">
        <v>25315.714285714286</v>
      </c>
      <c r="Q30" s="652">
        <v>0</v>
      </c>
      <c r="R30" s="652">
        <v>0</v>
      </c>
      <c r="S30" s="652">
        <v>0</v>
      </c>
      <c r="T30" s="652">
        <v>0</v>
      </c>
      <c r="U30" s="652">
        <v>0</v>
      </c>
      <c r="V30" s="652">
        <v>0</v>
      </c>
      <c r="W30" s="652">
        <v>0</v>
      </c>
      <c r="X30" s="652">
        <v>10</v>
      </c>
      <c r="Y30" s="652" t="s">
        <v>112</v>
      </c>
      <c r="Z30" s="654" t="s">
        <v>112</v>
      </c>
    </row>
    <row r="31" spans="1:26" s="606" customFormat="1" ht="25.5">
      <c r="A31" s="605"/>
      <c r="B31" s="796">
        <v>12009</v>
      </c>
      <c r="C31" s="796">
        <v>2570</v>
      </c>
      <c r="D31" s="653" t="s">
        <v>893</v>
      </c>
      <c r="E31" s="652" t="s">
        <v>894</v>
      </c>
      <c r="F31" s="652" t="s">
        <v>895</v>
      </c>
      <c r="G31" s="652" t="s">
        <v>884</v>
      </c>
      <c r="H31" s="652" t="s">
        <v>885</v>
      </c>
      <c r="I31" s="652" t="s">
        <v>896</v>
      </c>
      <c r="J31" s="795">
        <v>41260</v>
      </c>
      <c r="K31" s="795">
        <v>39492</v>
      </c>
      <c r="L31" s="652" t="s">
        <v>886</v>
      </c>
      <c r="M31" s="652">
        <v>3538</v>
      </c>
      <c r="N31" s="652">
        <v>15921</v>
      </c>
      <c r="O31" s="652">
        <v>22744.285714285714</v>
      </c>
      <c r="P31" s="652">
        <v>45488.571428571435</v>
      </c>
      <c r="Q31" s="652">
        <v>0</v>
      </c>
      <c r="R31" s="652">
        <v>0</v>
      </c>
      <c r="S31" s="652">
        <v>0</v>
      </c>
      <c r="T31" s="652">
        <v>0</v>
      </c>
      <c r="U31" s="652">
        <v>0</v>
      </c>
      <c r="V31" s="652">
        <v>0</v>
      </c>
      <c r="W31" s="652">
        <v>0</v>
      </c>
      <c r="X31" s="652">
        <v>10</v>
      </c>
      <c r="Y31" s="652" t="s">
        <v>112</v>
      </c>
      <c r="Z31" s="654" t="s">
        <v>112</v>
      </c>
    </row>
    <row r="32" spans="1:26" s="606" customFormat="1" ht="25.5">
      <c r="A32" s="605"/>
      <c r="B32" s="796">
        <v>12009</v>
      </c>
      <c r="C32" s="796">
        <v>2570</v>
      </c>
      <c r="D32" s="653" t="s">
        <v>897</v>
      </c>
      <c r="E32" s="652" t="s">
        <v>898</v>
      </c>
      <c r="F32" s="652" t="s">
        <v>899</v>
      </c>
      <c r="G32" s="652" t="s">
        <v>884</v>
      </c>
      <c r="H32" s="652" t="s">
        <v>885</v>
      </c>
      <c r="I32" s="652" t="s">
        <v>898</v>
      </c>
      <c r="J32" s="795">
        <v>39573</v>
      </c>
      <c r="K32" s="795">
        <v>39573</v>
      </c>
      <c r="L32" s="652" t="s">
        <v>886</v>
      </c>
      <c r="M32" s="652">
        <v>2789</v>
      </c>
      <c r="N32" s="652">
        <v>12550.5</v>
      </c>
      <c r="O32" s="652">
        <v>17929.285714285714</v>
      </c>
      <c r="P32" s="652">
        <v>35858.571428571428</v>
      </c>
      <c r="Q32" s="652">
        <v>0</v>
      </c>
      <c r="R32" s="652">
        <v>0</v>
      </c>
      <c r="S32" s="652">
        <v>0</v>
      </c>
      <c r="T32" s="652">
        <v>0</v>
      </c>
      <c r="U32" s="652">
        <v>0</v>
      </c>
      <c r="V32" s="652">
        <v>0</v>
      </c>
      <c r="W32" s="652">
        <v>0</v>
      </c>
      <c r="X32" s="652">
        <v>10</v>
      </c>
      <c r="Y32" s="652" t="s">
        <v>112</v>
      </c>
      <c r="Z32" s="654" t="s">
        <v>112</v>
      </c>
    </row>
    <row r="33" spans="1:26" s="606" customFormat="1" ht="25.5">
      <c r="A33" s="605"/>
      <c r="B33" s="796">
        <v>12009</v>
      </c>
      <c r="C33" s="796">
        <v>2570</v>
      </c>
      <c r="D33" s="653" t="s">
        <v>900</v>
      </c>
      <c r="E33" s="652" t="s">
        <v>901</v>
      </c>
      <c r="F33" s="652" t="s">
        <v>902</v>
      </c>
      <c r="G33" s="652" t="s">
        <v>884</v>
      </c>
      <c r="H33" s="652" t="s">
        <v>885</v>
      </c>
      <c r="I33" s="652" t="s">
        <v>901</v>
      </c>
      <c r="J33" s="795">
        <v>39594</v>
      </c>
      <c r="K33" s="795">
        <v>39594</v>
      </c>
      <c r="L33" s="652" t="s">
        <v>886</v>
      </c>
      <c r="M33" s="652">
        <v>2000</v>
      </c>
      <c r="N33" s="652">
        <v>9000</v>
      </c>
      <c r="O33" s="652">
        <v>12857.142857142857</v>
      </c>
      <c r="P33" s="652">
        <v>25714.285714285717</v>
      </c>
      <c r="Q33" s="652">
        <v>0</v>
      </c>
      <c r="R33" s="652">
        <v>0</v>
      </c>
      <c r="S33" s="652">
        <v>0</v>
      </c>
      <c r="T33" s="652">
        <v>0</v>
      </c>
      <c r="U33" s="652">
        <v>0</v>
      </c>
      <c r="V33" s="652">
        <v>0</v>
      </c>
      <c r="W33" s="652">
        <v>0</v>
      </c>
      <c r="X33" s="652">
        <v>10</v>
      </c>
      <c r="Y33" s="652" t="s">
        <v>112</v>
      </c>
      <c r="Z33" s="654" t="s">
        <v>112</v>
      </c>
    </row>
    <row r="34" spans="1:26" s="606" customFormat="1" ht="25.5">
      <c r="A34" s="605"/>
      <c r="B34" s="796">
        <v>12009</v>
      </c>
      <c r="C34" s="796">
        <v>2570</v>
      </c>
      <c r="D34" s="653" t="s">
        <v>903</v>
      </c>
      <c r="E34" s="652" t="s">
        <v>904</v>
      </c>
      <c r="F34" s="652" t="s">
        <v>905</v>
      </c>
      <c r="G34" s="652" t="s">
        <v>884</v>
      </c>
      <c r="H34" s="652" t="s">
        <v>885</v>
      </c>
      <c r="I34" s="652" t="s">
        <v>906</v>
      </c>
      <c r="J34" s="795">
        <v>39843</v>
      </c>
      <c r="K34" s="795">
        <v>39848</v>
      </c>
      <c r="L34" s="652" t="s">
        <v>886</v>
      </c>
      <c r="M34" s="652">
        <v>2014</v>
      </c>
      <c r="N34" s="652">
        <v>9062.9999999999982</v>
      </c>
      <c r="O34" s="652">
        <v>12947.142857142855</v>
      </c>
      <c r="P34" s="652">
        <v>25894.28571428571</v>
      </c>
      <c r="Q34" s="652">
        <v>0</v>
      </c>
      <c r="R34" s="652">
        <v>0</v>
      </c>
      <c r="S34" s="652">
        <v>0</v>
      </c>
      <c r="T34" s="652">
        <v>0</v>
      </c>
      <c r="U34" s="652">
        <v>0</v>
      </c>
      <c r="V34" s="652">
        <v>0</v>
      </c>
      <c r="W34" s="652">
        <v>0</v>
      </c>
      <c r="X34" s="652">
        <v>10</v>
      </c>
      <c r="Y34" s="652" t="s">
        <v>112</v>
      </c>
      <c r="Z34" s="654" t="s">
        <v>112</v>
      </c>
    </row>
    <row r="35" spans="1:26" s="606" customFormat="1" ht="25.5">
      <c r="A35" s="605"/>
      <c r="B35" s="796">
        <v>12009</v>
      </c>
      <c r="C35" s="796">
        <v>2570</v>
      </c>
      <c r="D35" s="653" t="s">
        <v>907</v>
      </c>
      <c r="E35" s="652" t="s">
        <v>908</v>
      </c>
      <c r="F35" s="652" t="s">
        <v>909</v>
      </c>
      <c r="G35" s="652" t="s">
        <v>884</v>
      </c>
      <c r="H35" s="652" t="s">
        <v>885</v>
      </c>
      <c r="I35" s="652" t="s">
        <v>910</v>
      </c>
      <c r="J35" s="795">
        <v>40443</v>
      </c>
      <c r="K35" s="795">
        <v>40443</v>
      </c>
      <c r="L35" s="652" t="s">
        <v>886</v>
      </c>
      <c r="M35" s="652">
        <v>1008</v>
      </c>
      <c r="N35" s="652">
        <v>4536</v>
      </c>
      <c r="O35" s="652">
        <v>6480</v>
      </c>
      <c r="P35" s="652">
        <v>12960</v>
      </c>
      <c r="Q35" s="652">
        <v>0</v>
      </c>
      <c r="R35" s="652">
        <v>0</v>
      </c>
      <c r="S35" s="652">
        <v>0</v>
      </c>
      <c r="T35" s="652">
        <v>0</v>
      </c>
      <c r="U35" s="652">
        <v>0</v>
      </c>
      <c r="V35" s="652">
        <v>0</v>
      </c>
      <c r="W35" s="652">
        <v>0</v>
      </c>
      <c r="X35" s="652">
        <v>10</v>
      </c>
      <c r="Y35" s="652" t="s">
        <v>112</v>
      </c>
      <c r="Z35" s="654" t="s">
        <v>112</v>
      </c>
    </row>
    <row r="36" spans="1:26" s="606" customFormat="1" ht="25.5">
      <c r="A36" s="605"/>
      <c r="B36" s="796">
        <v>12009</v>
      </c>
      <c r="C36" s="796">
        <v>2570</v>
      </c>
      <c r="D36" s="653" t="s">
        <v>911</v>
      </c>
      <c r="E36" s="652" t="s">
        <v>912</v>
      </c>
      <c r="F36" s="652" t="s">
        <v>913</v>
      </c>
      <c r="G36" s="652" t="s">
        <v>884</v>
      </c>
      <c r="H36" s="652" t="s">
        <v>885</v>
      </c>
      <c r="I36" s="652" t="s">
        <v>912</v>
      </c>
      <c r="J36" s="795">
        <v>40763</v>
      </c>
      <c r="K36" s="795">
        <v>40763</v>
      </c>
      <c r="L36" s="652" t="s">
        <v>886</v>
      </c>
      <c r="M36" s="652">
        <v>1560</v>
      </c>
      <c r="N36" s="652">
        <v>7020</v>
      </c>
      <c r="O36" s="652">
        <v>10028.571428571429</v>
      </c>
      <c r="P36" s="652">
        <v>20057.142857142859</v>
      </c>
      <c r="Q36" s="652">
        <v>0</v>
      </c>
      <c r="R36" s="652">
        <v>0</v>
      </c>
      <c r="S36" s="652">
        <v>0</v>
      </c>
      <c r="T36" s="652">
        <v>0</v>
      </c>
      <c r="U36" s="652">
        <v>0</v>
      </c>
      <c r="V36" s="652">
        <v>0</v>
      </c>
      <c r="W36" s="652">
        <v>0</v>
      </c>
      <c r="X36" s="652">
        <v>16000</v>
      </c>
      <c r="Y36" s="652" t="s">
        <v>33</v>
      </c>
      <c r="Z36" s="654" t="s">
        <v>389</v>
      </c>
    </row>
    <row r="37" spans="1:26" s="606" customFormat="1" ht="38.25">
      <c r="A37" s="605"/>
      <c r="B37" s="796">
        <v>12009</v>
      </c>
      <c r="C37" s="796">
        <v>2570</v>
      </c>
      <c r="D37" s="653" t="s">
        <v>914</v>
      </c>
      <c r="E37" s="652" t="s">
        <v>915</v>
      </c>
      <c r="F37" s="652" t="s">
        <v>916</v>
      </c>
      <c r="G37" s="652" t="s">
        <v>884</v>
      </c>
      <c r="H37" s="652" t="s">
        <v>917</v>
      </c>
      <c r="I37" s="652" t="s">
        <v>915</v>
      </c>
      <c r="J37" s="795">
        <v>41313</v>
      </c>
      <c r="K37" s="795">
        <v>41316</v>
      </c>
      <c r="L37" s="652" t="s">
        <v>886</v>
      </c>
      <c r="M37" s="652">
        <v>1562</v>
      </c>
      <c r="N37" s="652">
        <v>7029</v>
      </c>
      <c r="O37" s="652">
        <v>7907.625</v>
      </c>
      <c r="P37" s="652">
        <v>17572.5</v>
      </c>
      <c r="Q37" s="652">
        <v>0</v>
      </c>
      <c r="R37" s="652">
        <v>0</v>
      </c>
      <c r="S37" s="652">
        <v>0</v>
      </c>
      <c r="T37" s="652">
        <v>0</v>
      </c>
      <c r="U37" s="652">
        <v>0</v>
      </c>
      <c r="V37" s="652">
        <v>0</v>
      </c>
      <c r="W37" s="652">
        <v>0</v>
      </c>
      <c r="X37" s="652">
        <v>10</v>
      </c>
      <c r="Y37" s="652" t="s">
        <v>112</v>
      </c>
      <c r="Z37" s="654" t="s">
        <v>112</v>
      </c>
    </row>
    <row r="38" spans="1:26" s="606" customFormat="1" ht="25.5">
      <c r="A38" s="605"/>
      <c r="B38" s="796">
        <v>12009</v>
      </c>
      <c r="C38" s="796">
        <v>2570</v>
      </c>
      <c r="D38" s="653" t="s">
        <v>918</v>
      </c>
      <c r="E38" s="652"/>
      <c r="F38" s="652" t="s">
        <v>919</v>
      </c>
      <c r="G38" s="652" t="s">
        <v>920</v>
      </c>
      <c r="H38" s="652" t="s">
        <v>885</v>
      </c>
      <c r="I38" s="652" t="s">
        <v>921</v>
      </c>
      <c r="J38" s="795">
        <v>42502</v>
      </c>
      <c r="K38" s="795">
        <v>42502</v>
      </c>
      <c r="L38" s="652" t="s">
        <v>922</v>
      </c>
      <c r="M38" s="652">
        <v>1286</v>
      </c>
      <c r="N38" s="652">
        <v>3375.75</v>
      </c>
      <c r="O38" s="652">
        <v>4822.5</v>
      </c>
      <c r="P38" s="652">
        <v>9645</v>
      </c>
      <c r="Q38" s="652">
        <v>0</v>
      </c>
      <c r="R38" s="652">
        <v>0</v>
      </c>
      <c r="S38" s="652">
        <v>0</v>
      </c>
      <c r="T38" s="652">
        <v>0</v>
      </c>
      <c r="U38" s="652">
        <v>0</v>
      </c>
      <c r="V38" s="652">
        <v>0</v>
      </c>
      <c r="W38" s="652">
        <v>0</v>
      </c>
      <c r="X38" s="652">
        <v>10</v>
      </c>
      <c r="Y38" s="652" t="s">
        <v>112</v>
      </c>
      <c r="Z38" s="654" t="s">
        <v>112</v>
      </c>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20873</v>
      </c>
      <c r="N58" s="610">
        <f>SUM(N28:N57)</f>
        <v>91517.25</v>
      </c>
      <c r="O58" s="610">
        <f t="shared" ref="O58:W58" si="2">SUM(O28:O57)</f>
        <v>128605.125</v>
      </c>
      <c r="P58" s="610">
        <f t="shared" si="2"/>
        <v>258967.50000000003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1560</v>
      </c>
      <c r="N59" s="610">
        <f t="shared" si="3"/>
        <v>7020</v>
      </c>
      <c r="O59" s="610">
        <f t="shared" si="3"/>
        <v>10028.571428571429</v>
      </c>
      <c r="P59" s="610">
        <f t="shared" si="3"/>
        <v>20057.142857142859</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19313</v>
      </c>
      <c r="N61" s="615">
        <f t="shared" si="4"/>
        <v>84497.25</v>
      </c>
      <c r="O61" s="615">
        <f t="shared" si="4"/>
        <v>118576.55357142857</v>
      </c>
      <c r="P61" s="615">
        <f t="shared" si="4"/>
        <v>238910.35714285716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0.58424376440604908</v>
      </c>
      <c r="C98" s="635">
        <f>IF(ISERROR(N58/(O58+N58)),0,N58/(N58+O58))</f>
        <v>0.41575623559395086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107667.35294117648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151300.14705882352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28234.375387486198</v>
      </c>
      <c r="C4" s="477">
        <f>huishoudens!C8</f>
        <v>0</v>
      </c>
      <c r="D4" s="477">
        <f>huishoudens!D8</f>
        <v>80584.529107731505</v>
      </c>
      <c r="E4" s="477">
        <f>huishoudens!E8</f>
        <v>1391.5519856303758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9484.6672487546912</v>
      </c>
      <c r="O4" s="477">
        <f>huishoudens!O8</f>
        <v>262.64000000000004</v>
      </c>
      <c r="P4" s="478">
        <f>huishoudens!P8</f>
        <v>896.13333333333333</v>
      </c>
      <c r="Q4" s="479">
        <f>SUM(B4:P4)</f>
        <v>120853.8970629361</v>
      </c>
    </row>
    <row r="5" spans="1:17">
      <c r="A5" s="476" t="s">
        <v>156</v>
      </c>
      <c r="B5" s="477">
        <f ca="1">tertiair!B16</f>
        <v>34974.247736014848</v>
      </c>
      <c r="C5" s="477">
        <f ca="1">tertiair!C16</f>
        <v>0</v>
      </c>
      <c r="D5" s="477">
        <f ca="1">tertiair!D16</f>
        <v>38903.475789375821</v>
      </c>
      <c r="E5" s="477">
        <f>tertiair!E16</f>
        <v>210.25410951165753</v>
      </c>
      <c r="F5" s="477">
        <f ca="1">tertiair!F16</f>
        <v>7244.1919565613234</v>
      </c>
      <c r="G5" s="477">
        <f>tertiair!G16</f>
        <v>0</v>
      </c>
      <c r="H5" s="477">
        <f>tertiair!H16</f>
        <v>0</v>
      </c>
      <c r="I5" s="477">
        <f>tertiair!I16</f>
        <v>0</v>
      </c>
      <c r="J5" s="477">
        <f>tertiair!J16</f>
        <v>0.35950215176275924</v>
      </c>
      <c r="K5" s="477">
        <f>tertiair!K16</f>
        <v>0</v>
      </c>
      <c r="L5" s="477">
        <f ca="1">tertiair!L16</f>
        <v>0</v>
      </c>
      <c r="M5" s="477">
        <f>tertiair!M16</f>
        <v>0</v>
      </c>
      <c r="N5" s="477">
        <f ca="1">tertiair!N16</f>
        <v>14193.320309322169</v>
      </c>
      <c r="O5" s="477">
        <f>tertiair!O16</f>
        <v>3.1266666666666669</v>
      </c>
      <c r="P5" s="478">
        <f>tertiair!P16</f>
        <v>0</v>
      </c>
      <c r="Q5" s="476">
        <f t="shared" ref="Q5:Q14" ca="1" si="0">SUM(B5:P5)</f>
        <v>95528.97606960425</v>
      </c>
    </row>
    <row r="6" spans="1:17">
      <c r="A6" s="476" t="s">
        <v>194</v>
      </c>
      <c r="B6" s="477">
        <f>'openbare verlichting'!B8</f>
        <v>1291.999</v>
      </c>
      <c r="C6" s="477"/>
      <c r="D6" s="477"/>
      <c r="E6" s="477"/>
      <c r="F6" s="477"/>
      <c r="G6" s="477"/>
      <c r="H6" s="477"/>
      <c r="I6" s="477"/>
      <c r="J6" s="477"/>
      <c r="K6" s="477"/>
      <c r="L6" s="477"/>
      <c r="M6" s="477"/>
      <c r="N6" s="477"/>
      <c r="O6" s="477"/>
      <c r="P6" s="478"/>
      <c r="Q6" s="476">
        <f t="shared" si="0"/>
        <v>1291.999</v>
      </c>
    </row>
    <row r="7" spans="1:17">
      <c r="A7" s="476" t="s">
        <v>112</v>
      </c>
      <c r="B7" s="477">
        <f>landbouw!B8</f>
        <v>10586.523697986144</v>
      </c>
      <c r="C7" s="477">
        <f>landbouw!C8</f>
        <v>118576.55357142857</v>
      </c>
      <c r="D7" s="477">
        <f>landbouw!D8</f>
        <v>48104.072183769487</v>
      </c>
      <c r="E7" s="477">
        <f>landbouw!E8</f>
        <v>311.17026645933782</v>
      </c>
      <c r="F7" s="477">
        <f>landbouw!F8</f>
        <v>44102.885660096035</v>
      </c>
      <c r="G7" s="477">
        <f>landbouw!G8</f>
        <v>0</v>
      </c>
      <c r="H7" s="477">
        <f>landbouw!H8</f>
        <v>0</v>
      </c>
      <c r="I7" s="477">
        <f>landbouw!I8</f>
        <v>0</v>
      </c>
      <c r="J7" s="477">
        <f>landbouw!J8</f>
        <v>1533.7599356393489</v>
      </c>
      <c r="K7" s="477">
        <f>landbouw!K8</f>
        <v>0</v>
      </c>
      <c r="L7" s="477">
        <f>landbouw!L8</f>
        <v>0</v>
      </c>
      <c r="M7" s="477">
        <f>landbouw!M8</f>
        <v>0</v>
      </c>
      <c r="N7" s="477">
        <f>landbouw!N8</f>
        <v>0</v>
      </c>
      <c r="O7" s="477">
        <f>landbouw!O8</f>
        <v>0</v>
      </c>
      <c r="P7" s="478">
        <f>landbouw!P8</f>
        <v>0</v>
      </c>
      <c r="Q7" s="476">
        <f t="shared" si="0"/>
        <v>223214.96531537894</v>
      </c>
    </row>
    <row r="8" spans="1:17">
      <c r="A8" s="476" t="s">
        <v>635</v>
      </c>
      <c r="B8" s="477">
        <f>industrie!B18</f>
        <v>92850.427772622003</v>
      </c>
      <c r="C8" s="477">
        <f>industrie!C18</f>
        <v>10028.571428571429</v>
      </c>
      <c r="D8" s="477">
        <f>industrie!D18</f>
        <v>361745.74146906787</v>
      </c>
      <c r="E8" s="477">
        <f>industrie!E18</f>
        <v>805.81376098164969</v>
      </c>
      <c r="F8" s="477">
        <f>industrie!F18</f>
        <v>4228.8743512448282</v>
      </c>
      <c r="G8" s="477">
        <f>industrie!G18</f>
        <v>0</v>
      </c>
      <c r="H8" s="477">
        <f>industrie!H18</f>
        <v>0</v>
      </c>
      <c r="I8" s="477">
        <f>industrie!I18</f>
        <v>0</v>
      </c>
      <c r="J8" s="477">
        <f>industrie!J18</f>
        <v>43.698041122126789</v>
      </c>
      <c r="K8" s="477">
        <f>industrie!K18</f>
        <v>0</v>
      </c>
      <c r="L8" s="477">
        <f>industrie!L18</f>
        <v>0</v>
      </c>
      <c r="M8" s="477">
        <f>industrie!M18</f>
        <v>0</v>
      </c>
      <c r="N8" s="477">
        <f>industrie!N18</f>
        <v>221321.72204971543</v>
      </c>
      <c r="O8" s="477">
        <f>industrie!O18</f>
        <v>0</v>
      </c>
      <c r="P8" s="478">
        <f>industrie!P18</f>
        <v>0</v>
      </c>
      <c r="Q8" s="476">
        <f t="shared" si="0"/>
        <v>691024.84887332539</v>
      </c>
    </row>
    <row r="9" spans="1:17" s="482" customFormat="1">
      <c r="A9" s="480" t="s">
        <v>561</v>
      </c>
      <c r="B9" s="481">
        <f>transport!B14</f>
        <v>25.722261397594334</v>
      </c>
      <c r="C9" s="481">
        <f>transport!C14</f>
        <v>0</v>
      </c>
      <c r="D9" s="481">
        <f>transport!D14</f>
        <v>83.093306155154906</v>
      </c>
      <c r="E9" s="481">
        <f>transport!E14</f>
        <v>112.14685531353886</v>
      </c>
      <c r="F9" s="481">
        <f>transport!F14</f>
        <v>0</v>
      </c>
      <c r="G9" s="481">
        <f>transport!G14</f>
        <v>43610.641847550047</v>
      </c>
      <c r="H9" s="481">
        <f>transport!H14</f>
        <v>9411.8591505435525</v>
      </c>
      <c r="I9" s="481">
        <f>transport!I14</f>
        <v>0</v>
      </c>
      <c r="J9" s="481">
        <f>transport!J14</f>
        <v>0</v>
      </c>
      <c r="K9" s="481">
        <f>transport!K14</f>
        <v>0</v>
      </c>
      <c r="L9" s="481">
        <f>transport!L14</f>
        <v>0</v>
      </c>
      <c r="M9" s="481">
        <f>transport!M14</f>
        <v>2825.6234617980617</v>
      </c>
      <c r="N9" s="481">
        <f>transport!N14</f>
        <v>0</v>
      </c>
      <c r="O9" s="481">
        <f>transport!O14</f>
        <v>0</v>
      </c>
      <c r="P9" s="481">
        <f>transport!P14</f>
        <v>0</v>
      </c>
      <c r="Q9" s="480">
        <f>SUM(B9:P9)</f>
        <v>56069.086882757947</v>
      </c>
    </row>
    <row r="10" spans="1:17">
      <c r="A10" s="476" t="s">
        <v>551</v>
      </c>
      <c r="B10" s="477">
        <f>transport!B54</f>
        <v>0</v>
      </c>
      <c r="C10" s="477">
        <f>transport!C54</f>
        <v>0</v>
      </c>
      <c r="D10" s="477">
        <f>transport!D54</f>
        <v>0</v>
      </c>
      <c r="E10" s="477">
        <f>transport!E54</f>
        <v>0</v>
      </c>
      <c r="F10" s="477">
        <f>transport!F54</f>
        <v>0</v>
      </c>
      <c r="G10" s="477">
        <f>transport!G54</f>
        <v>1274.241867066838</v>
      </c>
      <c r="H10" s="477">
        <f>transport!H54</f>
        <v>0</v>
      </c>
      <c r="I10" s="477">
        <f>transport!I54</f>
        <v>0</v>
      </c>
      <c r="J10" s="477">
        <f>transport!J54</f>
        <v>0</v>
      </c>
      <c r="K10" s="477">
        <f>transport!K54</f>
        <v>0</v>
      </c>
      <c r="L10" s="477">
        <f>transport!L54</f>
        <v>0</v>
      </c>
      <c r="M10" s="477">
        <f>transport!M54</f>
        <v>72.371312811341809</v>
      </c>
      <c r="N10" s="477">
        <f>transport!N54</f>
        <v>0</v>
      </c>
      <c r="O10" s="477">
        <f>transport!O54</f>
        <v>0</v>
      </c>
      <c r="P10" s="478">
        <f>transport!P54</f>
        <v>0</v>
      </c>
      <c r="Q10" s="476">
        <f t="shared" si="0"/>
        <v>1346.6131798781798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1099.63691114785</v>
      </c>
      <c r="C14" s="484"/>
      <c r="D14" s="484">
        <f>'SEAP template'!E25</f>
        <v>2706.6534228355299</v>
      </c>
      <c r="E14" s="484"/>
      <c r="F14" s="484"/>
      <c r="G14" s="484"/>
      <c r="H14" s="484"/>
      <c r="I14" s="484"/>
      <c r="J14" s="484"/>
      <c r="K14" s="484"/>
      <c r="L14" s="484"/>
      <c r="M14" s="484"/>
      <c r="N14" s="484"/>
      <c r="O14" s="484"/>
      <c r="P14" s="485"/>
      <c r="Q14" s="476">
        <f t="shared" si="0"/>
        <v>3806.2903339833802</v>
      </c>
    </row>
    <row r="15" spans="1:17" s="486" customFormat="1">
      <c r="A15" s="1039" t="s">
        <v>555</v>
      </c>
      <c r="B15" s="987">
        <f ca="1">SUM(B4:B14)</f>
        <v>169062.93276665467</v>
      </c>
      <c r="C15" s="987">
        <f t="shared" ref="C15:Q15" ca="1" si="1">SUM(C4:C14)</f>
        <v>128605.125</v>
      </c>
      <c r="D15" s="987">
        <f t="shared" ca="1" si="1"/>
        <v>532127.56527893536</v>
      </c>
      <c r="E15" s="987">
        <f t="shared" si="1"/>
        <v>2830.9369778965597</v>
      </c>
      <c r="F15" s="987">
        <f t="shared" ca="1" si="1"/>
        <v>55575.951967902183</v>
      </c>
      <c r="G15" s="987">
        <f t="shared" si="1"/>
        <v>44884.883714616888</v>
      </c>
      <c r="H15" s="987">
        <f t="shared" si="1"/>
        <v>9411.8591505435525</v>
      </c>
      <c r="I15" s="987">
        <f t="shared" si="1"/>
        <v>0</v>
      </c>
      <c r="J15" s="987">
        <f t="shared" si="1"/>
        <v>1577.8174789132386</v>
      </c>
      <c r="K15" s="987">
        <f t="shared" si="1"/>
        <v>0</v>
      </c>
      <c r="L15" s="987">
        <f t="shared" ca="1" si="1"/>
        <v>0</v>
      </c>
      <c r="M15" s="987">
        <f t="shared" si="1"/>
        <v>2897.9947746094035</v>
      </c>
      <c r="N15" s="987">
        <f t="shared" ca="1" si="1"/>
        <v>244999.70960779229</v>
      </c>
      <c r="O15" s="987">
        <f t="shared" si="1"/>
        <v>265.76666666666671</v>
      </c>
      <c r="P15" s="987">
        <f t="shared" si="1"/>
        <v>896.13333333333333</v>
      </c>
      <c r="Q15" s="987">
        <f t="shared" ca="1" si="1"/>
        <v>1193136.6767178641</v>
      </c>
    </row>
    <row r="17" spans="1:17">
      <c r="A17" s="487" t="s">
        <v>556</v>
      </c>
      <c r="B17" s="786">
        <f ca="1">huishoudens!B10</f>
        <v>0.21956392959342802</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6199.2504096924367</v>
      </c>
      <c r="C22" s="477">
        <f t="shared" ref="C22:C32" ca="1" si="3">C4*$C$17</f>
        <v>0</v>
      </c>
      <c r="D22" s="477">
        <f t="shared" ref="D22:D32" si="4">D4*$D$17</f>
        <v>16278.074879761765</v>
      </c>
      <c r="E22" s="477">
        <f t="shared" ref="E22:E32" si="5">E4*$E$17</f>
        <v>315.88230073809535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22793.207590192298</v>
      </c>
    </row>
    <row r="23" spans="1:17">
      <c r="A23" s="476" t="s">
        <v>156</v>
      </c>
      <c r="B23" s="477">
        <f t="shared" ca="1" si="2"/>
        <v>7679.0832674934736</v>
      </c>
      <c r="C23" s="477">
        <f t="shared" ca="1" si="3"/>
        <v>0</v>
      </c>
      <c r="D23" s="477">
        <f t="shared" ca="1" si="4"/>
        <v>7858.5021094539161</v>
      </c>
      <c r="E23" s="477">
        <f t="shared" si="5"/>
        <v>47.727682859146263</v>
      </c>
      <c r="F23" s="477">
        <f t="shared" ca="1" si="6"/>
        <v>1934.1992524018735</v>
      </c>
      <c r="G23" s="477">
        <f t="shared" si="7"/>
        <v>0</v>
      </c>
      <c r="H23" s="477">
        <f t="shared" si="8"/>
        <v>0</v>
      </c>
      <c r="I23" s="477">
        <f t="shared" si="9"/>
        <v>0</v>
      </c>
      <c r="J23" s="477">
        <f t="shared" si="10"/>
        <v>0.12726376172401677</v>
      </c>
      <c r="K23" s="477">
        <f t="shared" si="11"/>
        <v>0</v>
      </c>
      <c r="L23" s="477">
        <f t="shared" ca="1" si="12"/>
        <v>0</v>
      </c>
      <c r="M23" s="477">
        <f t="shared" si="13"/>
        <v>0</v>
      </c>
      <c r="N23" s="477">
        <f t="shared" ca="1" si="14"/>
        <v>0</v>
      </c>
      <c r="O23" s="477">
        <f t="shared" si="15"/>
        <v>0</v>
      </c>
      <c r="P23" s="478">
        <f t="shared" si="16"/>
        <v>0</v>
      </c>
      <c r="Q23" s="476">
        <f t="shared" ref="Q23:Q32" ca="1" si="17">SUM(B23:P23)</f>
        <v>17519.639575970137</v>
      </c>
    </row>
    <row r="24" spans="1:17">
      <c r="A24" s="476" t="s">
        <v>194</v>
      </c>
      <c r="B24" s="477">
        <f t="shared" ca="1" si="2"/>
        <v>283.67637747077941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283.67637747077941</v>
      </c>
    </row>
    <row r="25" spans="1:17">
      <c r="A25" s="476" t="s">
        <v>112</v>
      </c>
      <c r="B25" s="477">
        <f t="shared" ca="1" si="2"/>
        <v>2324.4187438637869</v>
      </c>
      <c r="C25" s="477">
        <f t="shared" ca="1" si="3"/>
        <v>28179.369201680674</v>
      </c>
      <c r="D25" s="477">
        <f t="shared" si="4"/>
        <v>9717.0225811214368</v>
      </c>
      <c r="E25" s="477">
        <f t="shared" si="5"/>
        <v>70.635650486269682</v>
      </c>
      <c r="F25" s="477">
        <f t="shared" si="6"/>
        <v>11775.470471245642</v>
      </c>
      <c r="G25" s="477">
        <f t="shared" si="7"/>
        <v>0</v>
      </c>
      <c r="H25" s="477">
        <f t="shared" si="8"/>
        <v>0</v>
      </c>
      <c r="I25" s="477">
        <f t="shared" si="9"/>
        <v>0</v>
      </c>
      <c r="J25" s="477">
        <f t="shared" si="10"/>
        <v>542.95101721632943</v>
      </c>
      <c r="K25" s="477">
        <f t="shared" si="11"/>
        <v>0</v>
      </c>
      <c r="L25" s="477">
        <f t="shared" si="12"/>
        <v>0</v>
      </c>
      <c r="M25" s="477">
        <f t="shared" si="13"/>
        <v>0</v>
      </c>
      <c r="N25" s="477">
        <f t="shared" si="14"/>
        <v>0</v>
      </c>
      <c r="O25" s="477">
        <f t="shared" si="15"/>
        <v>0</v>
      </c>
      <c r="P25" s="478">
        <f t="shared" si="16"/>
        <v>0</v>
      </c>
      <c r="Q25" s="476">
        <f t="shared" ca="1" si="17"/>
        <v>52609.86766561414</v>
      </c>
    </row>
    <row r="26" spans="1:17">
      <c r="A26" s="476" t="s">
        <v>635</v>
      </c>
      <c r="B26" s="477">
        <f t="shared" ca="1" si="2"/>
        <v>20386.60478618765</v>
      </c>
      <c r="C26" s="477">
        <f t="shared" ca="1" si="3"/>
        <v>2383.2605042016812</v>
      </c>
      <c r="D26" s="477">
        <f t="shared" si="4"/>
        <v>73072.639776751719</v>
      </c>
      <c r="E26" s="477">
        <f t="shared" si="5"/>
        <v>182.91972374283449</v>
      </c>
      <c r="F26" s="477">
        <f t="shared" si="6"/>
        <v>1129.1094517823692</v>
      </c>
      <c r="G26" s="477">
        <f t="shared" si="7"/>
        <v>0</v>
      </c>
      <c r="H26" s="477">
        <f t="shared" si="8"/>
        <v>0</v>
      </c>
      <c r="I26" s="477">
        <f t="shared" si="9"/>
        <v>0</v>
      </c>
      <c r="J26" s="477">
        <f t="shared" si="10"/>
        <v>15.469106557232882</v>
      </c>
      <c r="K26" s="477">
        <f t="shared" si="11"/>
        <v>0</v>
      </c>
      <c r="L26" s="477">
        <f t="shared" si="12"/>
        <v>0</v>
      </c>
      <c r="M26" s="477">
        <f t="shared" si="13"/>
        <v>0</v>
      </c>
      <c r="N26" s="477">
        <f t="shared" si="14"/>
        <v>0</v>
      </c>
      <c r="O26" s="477">
        <f t="shared" si="15"/>
        <v>0</v>
      </c>
      <c r="P26" s="478">
        <f t="shared" si="16"/>
        <v>0</v>
      </c>
      <c r="Q26" s="476">
        <f t="shared" ca="1" si="17"/>
        <v>97170.00334922348</v>
      </c>
    </row>
    <row r="27" spans="1:17" s="482" customFormat="1">
      <c r="A27" s="480" t="s">
        <v>561</v>
      </c>
      <c r="B27" s="780">
        <f t="shared" ca="1" si="2"/>
        <v>5.647680790485154</v>
      </c>
      <c r="C27" s="481">
        <f t="shared" ca="1" si="3"/>
        <v>0</v>
      </c>
      <c r="D27" s="481">
        <f t="shared" si="4"/>
        <v>16.784847843341293</v>
      </c>
      <c r="E27" s="481">
        <f t="shared" si="5"/>
        <v>25.457336156173323</v>
      </c>
      <c r="F27" s="481">
        <f t="shared" si="6"/>
        <v>0</v>
      </c>
      <c r="G27" s="481">
        <f t="shared" si="7"/>
        <v>11644.041373295862</v>
      </c>
      <c r="H27" s="481">
        <f t="shared" si="8"/>
        <v>2343.5529284853446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14035.484166571208</v>
      </c>
    </row>
    <row r="28" spans="1:17">
      <c r="A28" s="476" t="s">
        <v>551</v>
      </c>
      <c r="B28" s="477">
        <f t="shared" ca="1" si="2"/>
        <v>0</v>
      </c>
      <c r="C28" s="477">
        <f t="shared" ca="1" si="3"/>
        <v>0</v>
      </c>
      <c r="D28" s="477">
        <f t="shared" si="4"/>
        <v>0</v>
      </c>
      <c r="E28" s="477">
        <f t="shared" si="5"/>
        <v>0</v>
      </c>
      <c r="F28" s="477">
        <f t="shared" si="6"/>
        <v>0</v>
      </c>
      <c r="G28" s="477">
        <f t="shared" si="7"/>
        <v>340.22257850684576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340.22257850684576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241.44060133760121</v>
      </c>
      <c r="C32" s="477">
        <f t="shared" ca="1" si="3"/>
        <v>0</v>
      </c>
      <c r="D32" s="477">
        <f t="shared" si="4"/>
        <v>546.74399141277706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788.18459275037821</v>
      </c>
    </row>
    <row r="33" spans="1:17" s="486" customFormat="1">
      <c r="A33" s="1039" t="s">
        <v>555</v>
      </c>
      <c r="B33" s="987">
        <f ca="1">SUM(B22:B32)</f>
        <v>37120.121866836213</v>
      </c>
      <c r="C33" s="987">
        <f t="shared" ref="C33:Q33" ca="1" si="18">SUM(C22:C32)</f>
        <v>30562.629705882355</v>
      </c>
      <c r="D33" s="987">
        <f t="shared" ca="1" si="18"/>
        <v>107489.76818634495</v>
      </c>
      <c r="E33" s="987">
        <f t="shared" si="18"/>
        <v>642.62269398251919</v>
      </c>
      <c r="F33" s="987">
        <f t="shared" ca="1" si="18"/>
        <v>14838.779175429885</v>
      </c>
      <c r="G33" s="987">
        <f t="shared" si="18"/>
        <v>11984.263951802708</v>
      </c>
      <c r="H33" s="987">
        <f t="shared" si="18"/>
        <v>2343.5529284853446</v>
      </c>
      <c r="I33" s="987">
        <f t="shared" si="18"/>
        <v>0</v>
      </c>
      <c r="J33" s="987">
        <f t="shared" si="18"/>
        <v>558.54738753528636</v>
      </c>
      <c r="K33" s="987">
        <f t="shared" si="18"/>
        <v>0</v>
      </c>
      <c r="L33" s="987">
        <f t="shared" ca="1" si="18"/>
        <v>0</v>
      </c>
      <c r="M33" s="987">
        <f t="shared" si="18"/>
        <v>0</v>
      </c>
      <c r="N33" s="987">
        <f t="shared" ca="1" si="18"/>
        <v>0</v>
      </c>
      <c r="O33" s="987">
        <f t="shared" si="18"/>
        <v>0</v>
      </c>
      <c r="P33" s="987">
        <f t="shared" si="18"/>
        <v>0</v>
      </c>
      <c r="Q33" s="987">
        <f t="shared" ca="1" si="18"/>
        <v>205540.28589629926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7992.2141118195141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91517.25</v>
      </c>
      <c r="D8" s="1056">
        <f>'SEAP template'!D76</f>
        <v>107667.35294117648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21748.80529411765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7992.2141118195141</v>
      </c>
      <c r="C10" s="1060">
        <f>SUM(C4:C9)</f>
        <v>91517.25</v>
      </c>
      <c r="D10" s="1060">
        <f t="shared" ref="D10:H10" si="0">SUM(D8:D9)</f>
        <v>107667.35294117648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21748.80529411765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0.21956392959342802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128605.125</v>
      </c>
      <c r="D17" s="1057">
        <f>'SEAP template'!D87</f>
        <v>151300.14705882352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30562.629705882355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128605.125</v>
      </c>
      <c r="D20" s="1060">
        <f t="shared" ref="D20:H20" si="2">SUM(D17:D19)</f>
        <v>151300.14705882352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30562.629705882355</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0.21956392959342802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2019-08-12T08:31:32Z</dcterms:modified>
</cp:coreProperties>
</file>